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en_skoroszyt"/>
  <bookViews>
    <workbookView xWindow="0" yWindow="0" windowWidth="18765" windowHeight="7710" tabRatio="851"/>
  </bookViews>
  <sheets>
    <sheet name="Język - Language" sheetId="15" r:id="rId1"/>
    <sheet name="Multiscreen. Cross-Device" sheetId="8" r:id="rId2"/>
    <sheet name="Mobile" sheetId="16" r:id="rId3"/>
    <sheet name="Flat Fee" sheetId="10" r:id="rId4"/>
    <sheet name="Poczta - Email service" sheetId="11" r:id="rId5"/>
    <sheet name="Serwisy &amp; Pakiety" sheetId="12" r:id="rId6"/>
    <sheet name="Wideo &amp; Audio" sheetId="4" r:id="rId7"/>
    <sheet name="DataPower" sheetId="3" r:id="rId8"/>
    <sheet name="Dopłaty - Extra charges" sheetId="2" r:id="rId9"/>
    <sheet name="Docs" sheetId="13" r:id="rId10"/>
  </sheets>
  <calcPr calcId="145621"/>
</workbook>
</file>

<file path=xl/calcChain.xml><?xml version="1.0" encoding="utf-8"?>
<calcChain xmlns="http://schemas.openxmlformats.org/spreadsheetml/2006/main">
  <c r="C58" i="12" l="1"/>
  <c r="C86" i="12" l="1"/>
  <c r="C83" i="12"/>
  <c r="C66" i="12"/>
  <c r="C56" i="12"/>
  <c r="G84" i="12"/>
  <c r="D84" i="12"/>
  <c r="C84" i="12"/>
  <c r="C93" i="12"/>
  <c r="C46" i="12"/>
  <c r="G47" i="12"/>
  <c r="G9" i="10" l="1"/>
  <c r="F62" i="8" l="1"/>
  <c r="F11" i="8"/>
  <c r="C19" i="16" l="1"/>
  <c r="C8" i="15" l="1"/>
  <c r="C47" i="16" l="1"/>
  <c r="C46" i="16"/>
  <c r="O55" i="16"/>
  <c r="O56" i="16"/>
  <c r="O57" i="16"/>
  <c r="O58" i="16"/>
  <c r="O59" i="16"/>
  <c r="O60" i="16"/>
  <c r="N55" i="16"/>
  <c r="N56" i="16"/>
  <c r="N57" i="16"/>
  <c r="N58" i="16"/>
  <c r="N59" i="16"/>
  <c r="N60" i="16"/>
  <c r="M55" i="16"/>
  <c r="M56" i="16"/>
  <c r="M57" i="16"/>
  <c r="M58" i="16"/>
  <c r="M59" i="16"/>
  <c r="M60" i="16"/>
  <c r="L55" i="16"/>
  <c r="L56" i="16"/>
  <c r="L57" i="16"/>
  <c r="L58" i="16"/>
  <c r="L59" i="16"/>
  <c r="L60" i="16"/>
  <c r="K55" i="16"/>
  <c r="K56" i="16"/>
  <c r="K57" i="16"/>
  <c r="K58" i="16"/>
  <c r="K59" i="16"/>
  <c r="K60" i="16"/>
  <c r="J55" i="16"/>
  <c r="J56" i="16"/>
  <c r="J57" i="16"/>
  <c r="J58" i="16"/>
  <c r="J59" i="16"/>
  <c r="J60" i="16"/>
  <c r="I55" i="16"/>
  <c r="I56" i="16"/>
  <c r="I57" i="16"/>
  <c r="I58" i="16"/>
  <c r="I59" i="16"/>
  <c r="I60" i="16"/>
  <c r="H55" i="16"/>
  <c r="H56" i="16"/>
  <c r="H57" i="16"/>
  <c r="H58" i="16"/>
  <c r="H59" i="16"/>
  <c r="H60" i="16"/>
  <c r="G55" i="16"/>
  <c r="G56" i="16"/>
  <c r="G57" i="16"/>
  <c r="G58" i="16"/>
  <c r="G59" i="16"/>
  <c r="G60" i="16"/>
  <c r="F55" i="16"/>
  <c r="F56" i="16"/>
  <c r="F57" i="16"/>
  <c r="F58" i="16"/>
  <c r="F59" i="16"/>
  <c r="F60" i="16"/>
  <c r="F61" i="16"/>
  <c r="F62" i="16"/>
  <c r="F63" i="16"/>
  <c r="O54" i="16"/>
  <c r="N54" i="16"/>
  <c r="M54" i="16"/>
  <c r="L54" i="16"/>
  <c r="K54" i="16"/>
  <c r="J54" i="16"/>
  <c r="I54" i="16"/>
  <c r="H54" i="16"/>
  <c r="G54" i="16"/>
  <c r="F54" i="16"/>
  <c r="O53" i="16" l="1"/>
  <c r="N53" i="16"/>
  <c r="J53" i="16"/>
  <c r="K53" i="16"/>
  <c r="L53" i="16"/>
  <c r="M53" i="16"/>
  <c r="I53" i="16"/>
  <c r="H53" i="16"/>
  <c r="G53" i="16"/>
  <c r="F53" i="16"/>
  <c r="D63" i="16"/>
  <c r="D62" i="16"/>
  <c r="D61" i="16"/>
  <c r="D60" i="16"/>
  <c r="D59" i="16"/>
  <c r="D58" i="16"/>
  <c r="D57" i="16"/>
  <c r="D56" i="16"/>
  <c r="D55" i="16"/>
  <c r="D54" i="16"/>
  <c r="C55" i="16"/>
  <c r="C56" i="16"/>
  <c r="C57" i="16"/>
  <c r="C58" i="16"/>
  <c r="C59" i="16"/>
  <c r="C60" i="16"/>
  <c r="C61" i="16"/>
  <c r="C62" i="16"/>
  <c r="C63" i="16"/>
  <c r="C54" i="16"/>
  <c r="N52" i="16"/>
  <c r="F52" i="16"/>
  <c r="N51" i="16"/>
  <c r="L51" i="16"/>
  <c r="J51" i="16"/>
  <c r="H51" i="16"/>
  <c r="F51" i="16"/>
  <c r="D51" i="16"/>
  <c r="C51" i="16"/>
  <c r="B30" i="15"/>
  <c r="M37" i="16"/>
  <c r="M38" i="16"/>
  <c r="M39" i="16"/>
  <c r="M40" i="16"/>
  <c r="M41" i="16"/>
  <c r="M42" i="16"/>
  <c r="M43" i="16"/>
  <c r="L37" i="16"/>
  <c r="L38" i="16"/>
  <c r="L39" i="16"/>
  <c r="L40" i="16"/>
  <c r="L41" i="16"/>
  <c r="L42" i="16"/>
  <c r="L43" i="16"/>
  <c r="M36" i="16"/>
  <c r="L36" i="16"/>
  <c r="M35" i="16"/>
  <c r="L35" i="16"/>
  <c r="K37" i="16"/>
  <c r="K38" i="16"/>
  <c r="K39" i="16"/>
  <c r="K40" i="16"/>
  <c r="K41" i="16"/>
  <c r="K42" i="16"/>
  <c r="K43" i="16"/>
  <c r="J37" i="16"/>
  <c r="J38" i="16"/>
  <c r="J39" i="16"/>
  <c r="J40" i="16"/>
  <c r="J41" i="16"/>
  <c r="J42" i="16"/>
  <c r="J43" i="16"/>
  <c r="K36" i="16"/>
  <c r="J36" i="16"/>
  <c r="K35" i="16"/>
  <c r="J35" i="16"/>
  <c r="M33" i="16"/>
  <c r="L33" i="16"/>
  <c r="M32" i="16"/>
  <c r="L32" i="16"/>
  <c r="K33" i="16"/>
  <c r="J33" i="16"/>
  <c r="K32" i="16"/>
  <c r="J32" i="16"/>
  <c r="I37" i="16"/>
  <c r="I38" i="16"/>
  <c r="I39" i="16"/>
  <c r="I40" i="16"/>
  <c r="I41" i="16"/>
  <c r="I42" i="16"/>
  <c r="I43" i="16"/>
  <c r="H37" i="16"/>
  <c r="H38" i="16"/>
  <c r="H39" i="16"/>
  <c r="H40" i="16"/>
  <c r="H41" i="16"/>
  <c r="H42" i="16"/>
  <c r="H43" i="16"/>
  <c r="I36" i="16"/>
  <c r="H36" i="16"/>
  <c r="I35" i="16"/>
  <c r="H35" i="16"/>
  <c r="I33" i="16"/>
  <c r="H33" i="16"/>
  <c r="I32" i="16"/>
  <c r="F37" i="16"/>
  <c r="F38" i="16"/>
  <c r="F39" i="16"/>
  <c r="F40" i="16"/>
  <c r="F41" i="16"/>
  <c r="F42" i="16"/>
  <c r="F43" i="16"/>
  <c r="G37" i="16"/>
  <c r="G38" i="16"/>
  <c r="G39" i="16"/>
  <c r="G40" i="16"/>
  <c r="G41" i="16"/>
  <c r="G42" i="16"/>
  <c r="G43" i="16"/>
  <c r="G36" i="16"/>
  <c r="F36" i="16"/>
  <c r="G35" i="16"/>
  <c r="F35" i="16"/>
  <c r="F34" i="16"/>
  <c r="G33" i="16"/>
  <c r="F33" i="16"/>
  <c r="G32" i="16"/>
  <c r="L29" i="16"/>
  <c r="C34" i="16"/>
  <c r="C33" i="16"/>
  <c r="J22" i="16"/>
  <c r="J21" i="16"/>
  <c r="L14" i="16"/>
  <c r="G27" i="12"/>
  <c r="K27" i="12" s="1"/>
  <c r="H21" i="16"/>
  <c r="C59" i="12"/>
  <c r="C16" i="8"/>
  <c r="E53" i="10"/>
  <c r="I95" i="8"/>
  <c r="C13" i="8"/>
  <c r="C19" i="11"/>
  <c r="F106" i="8"/>
  <c r="B77" i="8"/>
  <c r="F63" i="10"/>
  <c r="H10" i="10"/>
  <c r="F100" i="8"/>
  <c r="C95" i="8"/>
  <c r="B53" i="8"/>
  <c r="F34" i="8"/>
  <c r="J8" i="8"/>
  <c r="L11" i="16" s="1"/>
  <c r="D57" i="10"/>
  <c r="C13" i="11"/>
  <c r="N26" i="12"/>
  <c r="K31" i="16" s="1"/>
  <c r="F98" i="8"/>
  <c r="I82" i="8"/>
  <c r="F63" i="8"/>
  <c r="B51" i="8"/>
  <c r="F43" i="8"/>
  <c r="C19" i="8"/>
  <c r="J4" i="8"/>
  <c r="E54" i="10"/>
  <c r="H14" i="16" s="1"/>
  <c r="D13" i="10"/>
  <c r="H34" i="11"/>
  <c r="E8" i="11"/>
  <c r="D28" i="12"/>
  <c r="M23" i="12"/>
  <c r="J29" i="16" s="1"/>
  <c r="C18" i="4"/>
  <c r="D12" i="4"/>
  <c r="D7" i="4"/>
  <c r="B4" i="3"/>
  <c r="C67" i="2"/>
  <c r="B63" i="2"/>
  <c r="B56" i="2"/>
  <c r="D45" i="2"/>
  <c r="B38" i="2"/>
  <c r="B29" i="2"/>
  <c r="B20" i="2"/>
  <c r="B9" i="2"/>
  <c r="B106" i="8"/>
  <c r="B103" i="8"/>
  <c r="B100" i="8"/>
  <c r="B98" i="8"/>
  <c r="B97" i="8"/>
  <c r="G95" i="8"/>
  <c r="I84" i="8"/>
  <c r="I81" i="8"/>
  <c r="B76" i="8"/>
  <c r="B67" i="8"/>
  <c r="B65" i="8"/>
  <c r="B63" i="8"/>
  <c r="J60" i="8"/>
  <c r="B56" i="8"/>
  <c r="F50" i="8"/>
  <c r="F46" i="8"/>
  <c r="B43" i="8"/>
  <c r="B41" i="8"/>
  <c r="C36" i="8"/>
  <c r="C34" i="8"/>
  <c r="C31" i="8"/>
  <c r="F24" i="8"/>
  <c r="C15" i="8"/>
  <c r="F12" i="8"/>
  <c r="I8" i="8"/>
  <c r="J11" i="16" s="1"/>
  <c r="E63" i="10"/>
  <c r="F59" i="10"/>
  <c r="E56" i="10"/>
  <c r="H16" i="16" s="1"/>
  <c r="D54" i="10"/>
  <c r="D53" i="10"/>
  <c r="E43" i="10"/>
  <c r="C22" i="10"/>
  <c r="C13" i="10"/>
  <c r="H9" i="10"/>
  <c r="D8" i="10"/>
  <c r="E11" i="16" s="1"/>
  <c r="E34" i="11"/>
  <c r="C23" i="11"/>
  <c r="C18" i="11"/>
  <c r="C11" i="11"/>
  <c r="E21" i="16" s="1"/>
  <c r="C7" i="11"/>
  <c r="G60" i="12"/>
  <c r="C103" i="12"/>
  <c r="C95" i="12"/>
  <c r="D79" i="12"/>
  <c r="C40" i="12"/>
  <c r="C36" i="12"/>
  <c r="C41" i="16" s="1"/>
  <c r="C32" i="12"/>
  <c r="C37" i="16" s="1"/>
  <c r="J26" i="12"/>
  <c r="I31" i="16" s="1"/>
  <c r="I22" i="12"/>
  <c r="G9" i="12"/>
  <c r="C22" i="4"/>
  <c r="C16" i="4"/>
  <c r="I9" i="4"/>
  <c r="B74" i="2"/>
  <c r="B66" i="2"/>
  <c r="B61" i="2"/>
  <c r="B52" i="2"/>
  <c r="B42" i="2"/>
  <c r="C34" i="2"/>
  <c r="D26" i="2"/>
  <c r="B16" i="2"/>
  <c r="D4" i="2"/>
  <c r="C8" i="10"/>
  <c r="C11" i="16" s="1"/>
  <c r="B108" i="8"/>
  <c r="F104" i="8"/>
  <c r="F102" i="8"/>
  <c r="F99" i="8"/>
  <c r="I97" i="8"/>
  <c r="I96" i="8"/>
  <c r="F95" i="8"/>
  <c r="F84" i="8"/>
  <c r="F81" i="8"/>
  <c r="I71" i="8"/>
  <c r="F66" i="8"/>
  <c r="F64" i="8"/>
  <c r="I62" i="8"/>
  <c r="I60" i="8"/>
  <c r="B55" i="8"/>
  <c r="B52" i="8"/>
  <c r="B50" i="8"/>
  <c r="B48" i="8"/>
  <c r="B46" i="8"/>
  <c r="B44" i="8"/>
  <c r="J41" i="8"/>
  <c r="C38" i="8"/>
  <c r="F35" i="8"/>
  <c r="C33" i="8"/>
  <c r="F26" i="8"/>
  <c r="C24" i="8"/>
  <c r="C21" i="8"/>
  <c r="C12" i="8"/>
  <c r="F7" i="8"/>
  <c r="C65" i="10"/>
  <c r="F62" i="10"/>
  <c r="F57" i="10"/>
  <c r="F55" i="10"/>
  <c r="E15" i="16" s="1"/>
  <c r="C54" i="10"/>
  <c r="E44" i="10"/>
  <c r="C43" i="10"/>
  <c r="E20" i="10"/>
  <c r="E11" i="10"/>
  <c r="E7" i="10"/>
  <c r="B35" i="11"/>
  <c r="C34" i="11"/>
  <c r="B23" i="11"/>
  <c r="B16" i="11"/>
  <c r="C9" i="11"/>
  <c r="B7" i="11"/>
  <c r="E60" i="12"/>
  <c r="C100" i="12"/>
  <c r="C94" i="12"/>
  <c r="G78" i="12"/>
  <c r="C39" i="12"/>
  <c r="C44" i="16" s="1"/>
  <c r="C35" i="12"/>
  <c r="C40" i="16" s="1"/>
  <c r="D31" i="12"/>
  <c r="D36" i="16" s="1"/>
  <c r="I26" i="12"/>
  <c r="H31" i="16" s="1"/>
  <c r="K21" i="12"/>
  <c r="K8" i="12"/>
  <c r="D21" i="4"/>
  <c r="C15" i="4"/>
  <c r="H9" i="4"/>
  <c r="B26" i="3"/>
  <c r="C66" i="16" s="1"/>
  <c r="B72" i="2"/>
  <c r="AA65" i="2"/>
  <c r="C60" i="2"/>
  <c r="B50" i="2"/>
  <c r="D41" i="2"/>
  <c r="C33" i="2"/>
  <c r="B25" i="2"/>
  <c r="B15" i="2"/>
  <c r="B4" i="2"/>
  <c r="C19" i="10"/>
  <c r="C11" i="10"/>
  <c r="D10" i="13"/>
  <c r="B7" i="2"/>
  <c r="B10" i="2"/>
  <c r="B14" i="2"/>
  <c r="B18" i="2"/>
  <c r="B22" i="2"/>
  <c r="B26" i="2"/>
  <c r="B28" i="2"/>
  <c r="B31" i="2"/>
  <c r="C35" i="2"/>
  <c r="B39" i="2"/>
  <c r="B41" i="2"/>
  <c r="B44" i="2"/>
  <c r="B47" i="2"/>
  <c r="B51" i="2"/>
  <c r="B55" i="2"/>
  <c r="C59" i="2"/>
  <c r="C61" i="2"/>
  <c r="C63" i="2"/>
  <c r="AA66" i="2"/>
  <c r="C68" i="2"/>
  <c r="B73" i="2"/>
  <c r="B24" i="3"/>
  <c r="C4" i="4"/>
  <c r="E7" i="4"/>
  <c r="G9" i="4"/>
  <c r="C11" i="4"/>
  <c r="D13" i="4"/>
  <c r="D15" i="4"/>
  <c r="D17" i="4"/>
  <c r="D19" i="4"/>
  <c r="C23" i="4"/>
  <c r="C4" i="12"/>
  <c r="G8" i="12"/>
  <c r="I10" i="12"/>
  <c r="D21" i="12"/>
  <c r="D29" i="16" s="1"/>
  <c r="M21" i="12"/>
  <c r="K23" i="12"/>
  <c r="G26" i="12"/>
  <c r="F31" i="16" s="1"/>
  <c r="K26" i="12"/>
  <c r="O26" i="12"/>
  <c r="L31" i="16" s="1"/>
  <c r="D30" i="12"/>
  <c r="D32" i="12"/>
  <c r="D37" i="16" s="1"/>
  <c r="D34" i="12"/>
  <c r="D39" i="16" s="1"/>
  <c r="D36" i="12"/>
  <c r="D41" i="16" s="1"/>
  <c r="D38" i="12"/>
  <c r="D43" i="16" s="1"/>
  <c r="C78" i="12"/>
  <c r="C88" i="12"/>
  <c r="C97" i="12"/>
  <c r="C101" i="12"/>
  <c r="G59" i="12"/>
  <c r="I60" i="12"/>
  <c r="G4" i="11"/>
  <c r="F8" i="11"/>
  <c r="C10" i="11"/>
  <c r="C14" i="11"/>
  <c r="C17" i="11"/>
  <c r="C21" i="11"/>
  <c r="B24" i="11"/>
  <c r="B31" i="11"/>
  <c r="G34" i="11"/>
  <c r="H35" i="11"/>
  <c r="H4" i="10"/>
  <c r="G7" i="10"/>
  <c r="H8" i="10"/>
  <c r="D10" i="10"/>
  <c r="D8" i="13"/>
  <c r="D7" i="2"/>
  <c r="B12" i="2"/>
  <c r="B17" i="2"/>
  <c r="B23" i="2"/>
  <c r="B27" i="2"/>
  <c r="B30" i="2"/>
  <c r="C36" i="2"/>
  <c r="B40" i="2"/>
  <c r="B43" i="2"/>
  <c r="B48" i="2"/>
  <c r="B53" i="2"/>
  <c r="B59" i="2"/>
  <c r="B62" i="2"/>
  <c r="C64" i="2"/>
  <c r="C66" i="2"/>
  <c r="B69" i="2"/>
  <c r="B75" i="2"/>
  <c r="B23" i="3"/>
  <c r="C64" i="16" s="1"/>
  <c r="L4" i="4"/>
  <c r="H7" i="4"/>
  <c r="D10" i="4"/>
  <c r="C14" i="4"/>
  <c r="D16" i="4"/>
  <c r="C19" i="4"/>
  <c r="C24" i="4"/>
  <c r="C7" i="12"/>
  <c r="G10" i="12"/>
  <c r="G21" i="12"/>
  <c r="G23" i="12"/>
  <c r="F29" i="16" s="1"/>
  <c r="G25" i="12"/>
  <c r="F30" i="16" s="1"/>
  <c r="L26" i="12"/>
  <c r="D27" i="12"/>
  <c r="D32" i="16" s="1"/>
  <c r="D34" i="16"/>
  <c r="C33" i="12"/>
  <c r="C38" i="16" s="1"/>
  <c r="D35" i="12"/>
  <c r="D40" i="16" s="1"/>
  <c r="C38" i="12"/>
  <c r="C43" i="16" s="1"/>
  <c r="D78" i="12"/>
  <c r="C90" i="12"/>
  <c r="C96" i="12"/>
  <c r="C102" i="12"/>
  <c r="F60" i="12"/>
  <c r="B4" i="11"/>
  <c r="G8" i="11"/>
  <c r="C12" i="11"/>
  <c r="C16" i="11"/>
  <c r="C22" i="11"/>
  <c r="B29" i="11"/>
  <c r="F34" i="11"/>
  <c r="B36" i="11"/>
  <c r="D7" i="10"/>
  <c r="G8" i="10"/>
  <c r="G10" i="10"/>
  <c r="D12" i="10"/>
  <c r="E14" i="10"/>
  <c r="E25" i="10"/>
  <c r="F43" i="10"/>
  <c r="C53" i="10"/>
  <c r="H53" i="10"/>
  <c r="F54" i="10"/>
  <c r="E14" i="16" s="1"/>
  <c r="F56" i="10"/>
  <c r="E16" i="16" s="1"/>
  <c r="F58" i="10"/>
  <c r="F61" i="10"/>
  <c r="E64" i="10"/>
  <c r="C4" i="8"/>
  <c r="I7" i="8"/>
  <c r="F9" i="8"/>
  <c r="F15" i="8"/>
  <c r="C18" i="8"/>
  <c r="C25" i="8"/>
  <c r="C28" i="8"/>
  <c r="C30" i="8"/>
  <c r="C32" i="8"/>
  <c r="C18" i="10"/>
  <c r="B8" i="2"/>
  <c r="B13" i="2"/>
  <c r="B19" i="2"/>
  <c r="B24" i="2"/>
  <c r="D27" i="2"/>
  <c r="C32" i="2"/>
  <c r="C37" i="2"/>
  <c r="D40" i="2"/>
  <c r="B45" i="2"/>
  <c r="B49" i="2"/>
  <c r="B54" i="2"/>
  <c r="B60" i="2"/>
  <c r="C62" i="2"/>
  <c r="B65" i="2"/>
  <c r="B67" i="2"/>
  <c r="C69" i="2"/>
  <c r="B76" i="2"/>
  <c r="B25" i="3"/>
  <c r="C65" i="16" s="1"/>
  <c r="C7" i="4"/>
  <c r="K7" i="4"/>
  <c r="C12" i="4"/>
  <c r="D14" i="4"/>
  <c r="C17" i="4"/>
  <c r="C21" i="4"/>
  <c r="C25" i="4"/>
  <c r="D7" i="12"/>
  <c r="K10" i="12"/>
  <c r="I21" i="12"/>
  <c r="I23" i="12"/>
  <c r="H26" i="12"/>
  <c r="G31" i="16" s="1"/>
  <c r="M26" i="12"/>
  <c r="J31" i="16" s="1"/>
  <c r="B107" i="8"/>
  <c r="B104" i="8"/>
  <c r="B102" i="8"/>
  <c r="B99" i="8"/>
  <c r="G97" i="8"/>
  <c r="G96" i="8"/>
  <c r="D95" i="8"/>
  <c r="B84" i="8"/>
  <c r="B81" i="8"/>
  <c r="J70" i="8"/>
  <c r="B66" i="8"/>
  <c r="B64" i="8"/>
  <c r="F60" i="8"/>
  <c r="B54" i="8"/>
  <c r="F51" i="8"/>
  <c r="I43" i="8"/>
  <c r="I41" i="8"/>
  <c r="C37" i="8"/>
  <c r="C35" i="8"/>
  <c r="C26" i="8"/>
  <c r="C23" i="8"/>
  <c r="C20" i="8"/>
  <c r="C17" i="8"/>
  <c r="C14" i="8"/>
  <c r="C9" i="8"/>
  <c r="C7" i="8"/>
  <c r="F64" i="10"/>
  <c r="F60" i="10"/>
  <c r="E57" i="10"/>
  <c r="E55" i="10"/>
  <c r="H15" i="16" s="1"/>
  <c r="F53" i="10"/>
  <c r="H43" i="10"/>
  <c r="G25" i="10"/>
  <c r="E13" i="10"/>
  <c r="D11" i="10"/>
  <c r="D9" i="10"/>
  <c r="C7" i="10"/>
  <c r="I34" i="11"/>
  <c r="B30" i="11"/>
  <c r="C20" i="11"/>
  <c r="C15" i="11"/>
  <c r="B9" i="11"/>
  <c r="E59" i="12"/>
  <c r="C99" i="12"/>
  <c r="C91" i="12"/>
  <c r="C77" i="12"/>
  <c r="D37" i="12"/>
  <c r="D42" i="16" s="1"/>
  <c r="C34" i="12"/>
  <c r="C39" i="16" s="1"/>
  <c r="C31" i="12"/>
  <c r="C36" i="16" s="1"/>
  <c r="P26" i="12"/>
  <c r="M31" i="16" s="1"/>
  <c r="I24" i="12"/>
  <c r="H29" i="16" s="1"/>
  <c r="C21" i="12"/>
  <c r="C29" i="16" s="1"/>
  <c r="P4" i="12"/>
  <c r="D18" i="4"/>
  <c r="C13" i="4"/>
  <c r="F7" i="4"/>
  <c r="Q4" i="3"/>
  <c r="B68" i="2"/>
  <c r="B64" i="2"/>
  <c r="B58" i="2"/>
  <c r="B46" i="2"/>
  <c r="D39" i="2"/>
  <c r="D29" i="2"/>
  <c r="B21" i="2"/>
  <c r="B11" i="2"/>
  <c r="C4" i="16"/>
  <c r="D35" i="16"/>
  <c r="C65" i="2"/>
  <c r="F32" i="16" l="1"/>
  <c r="I27" i="12"/>
  <c r="H32" i="16" s="1"/>
  <c r="C27" i="12"/>
  <c r="C32" i="16" s="1"/>
  <c r="F45" i="8"/>
  <c r="F48" i="8"/>
  <c r="F30" i="8"/>
  <c r="F14" i="8"/>
  <c r="F22" i="8"/>
  <c r="F21" i="8"/>
  <c r="F17" i="8"/>
  <c r="F44" i="8"/>
  <c r="F52" i="8"/>
  <c r="F29" i="8"/>
  <c r="F18" i="8"/>
  <c r="F28" i="8"/>
  <c r="F20" i="8"/>
  <c r="F47" i="8"/>
  <c r="F32" i="8"/>
  <c r="F49" i="8"/>
  <c r="F31" i="8"/>
  <c r="F13" i="8"/>
  <c r="H1" i="4"/>
  <c r="C1" i="11"/>
  <c r="K1" i="3"/>
  <c r="J1" i="12"/>
  <c r="C1" i="2"/>
  <c r="E1" i="10"/>
  <c r="B60" i="8"/>
  <c r="F41" i="8"/>
  <c r="C22" i="16"/>
  <c r="I70" i="8"/>
  <c r="C30" i="12"/>
  <c r="C35" i="16" s="1"/>
  <c r="C25" i="10"/>
  <c r="B45" i="8"/>
  <c r="M10" i="12"/>
  <c r="B49" i="8"/>
  <c r="G43" i="10"/>
  <c r="C98" i="12"/>
  <c r="F97" i="8"/>
  <c r="C21" i="16"/>
  <c r="D33" i="12"/>
  <c r="D38" i="16" s="1"/>
  <c r="C4" i="10"/>
  <c r="C22" i="8"/>
  <c r="F65" i="8"/>
  <c r="C41" i="12"/>
  <c r="C45" i="16" s="1"/>
  <c r="C29" i="8"/>
  <c r="C89" i="12"/>
  <c r="F36" i="8"/>
  <c r="B28" i="11"/>
  <c r="B62" i="8"/>
  <c r="B47" i="8"/>
  <c r="F103" i="8"/>
  <c r="C33" i="10"/>
  <c r="F25" i="8"/>
  <c r="E60" i="10"/>
  <c r="G1" i="8"/>
  <c r="E1" i="15"/>
  <c r="G1" i="16"/>
  <c r="C37" i="12"/>
  <c r="C42" i="16" s="1"/>
  <c r="E8" i="10"/>
  <c r="H11" i="16" s="1"/>
  <c r="M4" i="16"/>
</calcChain>
</file>

<file path=xl/sharedStrings.xml><?xml version="1.0" encoding="utf-8"?>
<sst xmlns="http://schemas.openxmlformats.org/spreadsheetml/2006/main" count="358" uniqueCount="226">
  <si>
    <t xml:space="preserve">            Wybór języka - Language</t>
  </si>
  <si>
    <t>PROSZĘ WYBRAĆ JĘZYK</t>
  </si>
  <si>
    <t>PLEASE CHOOSE LANGUAGE</t>
  </si>
  <si>
    <t>Polski</t>
  </si>
  <si>
    <t>English</t>
  </si>
  <si>
    <t>Górny slot (pierwsza dniówka)</t>
  </si>
  <si>
    <t>Druga dniówka (od 4. odsłony)</t>
  </si>
  <si>
    <t>Boksy w modułach tematycznych</t>
  </si>
  <si>
    <t>nd</t>
  </si>
  <si>
    <t>Tekstowe</t>
  </si>
  <si>
    <t>SG WP MONEY (DESKTOP/TABLET)</t>
  </si>
  <si>
    <t>SG WP MONEY (MOBILE)</t>
  </si>
  <si>
    <r>
      <t>Double Billboard lub Wideboard</t>
    </r>
    <r>
      <rPr>
        <vertAlign val="superscript"/>
        <sz val="8"/>
        <color indexed="8"/>
        <rFont val="Tahoma"/>
        <family val="2"/>
      </rPr>
      <t>1</t>
    </r>
  </si>
  <si>
    <t>Baner górny</t>
  </si>
  <si>
    <t>Triple Billboard</t>
  </si>
  <si>
    <t>Baner skalowany XL</t>
  </si>
  <si>
    <t xml:space="preserve">Screening / Gallery Board </t>
  </si>
  <si>
    <t>Baner górny XL</t>
  </si>
  <si>
    <t>Money Box</t>
  </si>
  <si>
    <t>Rectangle nr 1</t>
  </si>
  <si>
    <r>
      <t>Content Box</t>
    </r>
    <r>
      <rPr>
        <vertAlign val="superscript"/>
        <sz val="8"/>
        <color indexed="8"/>
        <rFont val="Tahoma"/>
        <family val="2"/>
      </rPr>
      <t>2</t>
    </r>
  </si>
  <si>
    <t>Baner skalowany</t>
  </si>
  <si>
    <t>STRONA GŁÓWNA SPORTOWEFAKTY (DESKTOP/TABLET)</t>
  </si>
  <si>
    <r>
      <t>STRONA GŁÓWNA SPORTOWEFAKTY (MOBILE)</t>
    </r>
    <r>
      <rPr>
        <b/>
        <vertAlign val="superscript"/>
        <sz val="8"/>
        <color indexed="9"/>
        <rFont val="Tahoma"/>
        <family val="2"/>
        <charset val="238"/>
      </rPr>
      <t>1</t>
    </r>
  </si>
  <si>
    <t>CZAS EMISJI</t>
  </si>
  <si>
    <t>CENA</t>
  </si>
  <si>
    <t>ROS SPORTOWEFAKTY (DESKTOP)</t>
  </si>
  <si>
    <r>
      <t>ROS SPORTOWEFAKTY (MOBILE)</t>
    </r>
    <r>
      <rPr>
        <b/>
        <vertAlign val="superscript"/>
        <sz val="8"/>
        <color indexed="9"/>
        <rFont val="Tahoma"/>
        <family val="2"/>
        <charset val="238"/>
      </rPr>
      <t>1</t>
    </r>
  </si>
  <si>
    <t>ROS DOBREPROGRAMY.PL (DESKTOP)</t>
  </si>
  <si>
    <t>ROS dobreprogramy.pl (MOBILE)</t>
  </si>
  <si>
    <t xml:space="preserve">Screening capp 1/uu + Wideoboard capp 2/uu </t>
  </si>
  <si>
    <t>Banner skalowany capp 1/uu</t>
  </si>
  <si>
    <t>Flat Fee / dzień</t>
  </si>
  <si>
    <t>Flat Fee / tydzień</t>
  </si>
  <si>
    <t>Doublebillborad / Wideborad capp 3/uu</t>
  </si>
  <si>
    <t>Banner górny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</si>
  <si>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</si>
  <si>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</si>
  <si>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</si>
  <si>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</si>
  <si>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</si>
  <si>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</si>
  <si>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łączny cap3xuu / dzień</t>
  </si>
  <si>
    <t>WP Kobieta, Kafeteria</t>
  </si>
  <si>
    <t>abcZdrowie, Parenting</t>
  </si>
  <si>
    <t>WP Sportowefakty</t>
  </si>
  <si>
    <t xml:space="preserve">Plotka </t>
  </si>
  <si>
    <t>WP Gwiazdy, Pudelek¹</t>
  </si>
  <si>
    <t>WP Turystyka, WP Pogoda</t>
  </si>
  <si>
    <t>MIEJSCE EMISJI</t>
  </si>
  <si>
    <t>FORMAT</t>
  </si>
  <si>
    <t>MODEL EMISJI</t>
  </si>
  <si>
    <t>CENA RATE CARD</t>
  </si>
  <si>
    <t>WP SG</t>
  </si>
  <si>
    <t>Paralaksa XL</t>
  </si>
  <si>
    <t>Serwisy Premium</t>
  </si>
  <si>
    <t>Panel Premium</t>
  </si>
  <si>
    <t>WP SportoweFakty</t>
  </si>
  <si>
    <t>Poczta WP / nad listingiem</t>
  </si>
  <si>
    <t>Banner</t>
  </si>
  <si>
    <t>Poczta o2 / nad listingiem</t>
  </si>
  <si>
    <t>REKLAMA ODSŁONOWA NA SERWISACH</t>
  </si>
  <si>
    <t>REKLAMA DATA POWER</t>
  </si>
  <si>
    <t xml:space="preserve">
</t>
  </si>
  <si>
    <t>MOBILE</t>
  </si>
  <si>
    <t>DESKTOP</t>
  </si>
  <si>
    <t>WP Autokult</t>
  </si>
  <si>
    <t>WP Gadżetomania</t>
  </si>
  <si>
    <t>WP Komórkomania</t>
  </si>
  <si>
    <t>WP Fotoblogia</t>
  </si>
  <si>
    <t>WP abcZdrowie</t>
  </si>
  <si>
    <t>WP Parenting</t>
  </si>
  <si>
    <t>WP Wiadomości</t>
  </si>
  <si>
    <t>WP Moto</t>
  </si>
  <si>
    <t>WP Finanse</t>
  </si>
  <si>
    <t>WP Film</t>
  </si>
  <si>
    <t>WP Turystyka</t>
  </si>
  <si>
    <t>WP Kobieta</t>
  </si>
  <si>
    <t>MSP Money</t>
  </si>
  <si>
    <t>Manager Money</t>
  </si>
  <si>
    <t>WP Dom</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</si>
  <si>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</si>
  <si>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</si>
  <si>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</si>
  <si>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</si>
  <si>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</si>
  <si>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</si>
  <si>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</si>
  <si>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</si>
  <si>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</si>
  <si>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</si>
  <si>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</si>
  <si>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</si>
  <si>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</si>
  <si>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</si>
  <si>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</si>
  <si>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</si>
  <si>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WIDZIALNE ODSŁONY</t>
  </si>
  <si>
    <t>DNIÓWKA ODSŁONOWA</t>
  </si>
  <si>
    <t>Moduł "Wiadomości"</t>
  </si>
  <si>
    <t>Moduł "Sport"</t>
  </si>
  <si>
    <t>Moduł "Finanse"</t>
  </si>
  <si>
    <t>Moduł "Gwiazdy"</t>
  </si>
  <si>
    <t>Moduł "Moto"</t>
  </si>
  <si>
    <t>Moduł "Styl Życia"</t>
  </si>
  <si>
    <t>Moduł "Turystyka"</t>
  </si>
  <si>
    <t>Moduł "Zobacz więcej"</t>
  </si>
  <si>
    <t>Mouduły rotacyjnie</t>
  </si>
  <si>
    <t>COMMERCIAL BREAK³, WELCOME SCREEN³</t>
  </si>
  <si>
    <t>COMMERCIAL BREAK³</t>
  </si>
  <si>
    <t>EMISJA ODSŁONOWA</t>
  </si>
  <si>
    <t>PREMIUM HP</t>
  </si>
  <si>
    <t>WYBRANY SERWIS⁴</t>
  </si>
  <si>
    <t>+30% do ceny wybranej kategorii (+100% w przypadku serwisu Pudelek.pl)</t>
  </si>
  <si>
    <t>⁴ +100% do ceny wybranej kategorii w przyadku serwisu Pudelek.pl</t>
  </si>
  <si>
    <t>⁵ Screening na dobreprogramy.pl sprzedawany wyłącznie poza pakietem</t>
  </si>
  <si>
    <t>FLAT FEE</t>
  </si>
  <si>
    <t>Pudelek.pl</t>
  </si>
  <si>
    <t>WP Gwiazdy</t>
  </si>
  <si>
    <t>Pudelek.pl + WP Gwiazdy</t>
  </si>
  <si>
    <t>Mazowieckie</t>
  </si>
  <si>
    <t>Pomorskie, Wielkopolskie, Śląskie</t>
  </si>
  <si>
    <t>Dolnośląskie, Małopolskie</t>
  </si>
  <si>
    <t>Kujawsko-Pomorskie, Lubelskie, Podkarpackie, Zachodniopomorskie, Łódzkie</t>
  </si>
  <si>
    <t>Lubuskie, Opolskie, Podlaskie, Warmińsko-mazurskie, Świętokrzyskie</t>
  </si>
  <si>
    <t>rozliczenie CPM za rozpoczęte odtworzenia³</t>
  </si>
  <si>
    <t>rozliczenie za pełne odtworzenia³</t>
  </si>
  <si>
    <t>15"/30"</t>
  </si>
  <si>
    <t>15"</t>
  </si>
  <si>
    <t>30"</t>
  </si>
  <si>
    <t>WPM ZASIĘG</t>
  </si>
  <si>
    <t>+25%</t>
  </si>
  <si>
    <t>80 PLN</t>
  </si>
  <si>
    <t>PAKIET SPECJALNY</t>
  </si>
  <si>
    <t>KATEGORIE</t>
  </si>
  <si>
    <t>PRZYKŁADOWE PROFILE</t>
  </si>
  <si>
    <t>RECTANGLE,</t>
  </si>
  <si>
    <t>DOUBLE BILLBOARD,</t>
  </si>
  <si>
    <t>TRIPLE BILLBOARD,</t>
  </si>
  <si>
    <t>SCREENING 200³</t>
  </si>
  <si>
    <t>Instream Video Ad CPM, Instream Video SkipAd CPM</t>
  </si>
  <si>
    <t>MAILING</t>
  </si>
  <si>
    <t>FLOATING HALFPAGE</t>
  </si>
  <si>
    <t>MOBILE RECTANGLE</t>
  </si>
  <si>
    <t>HALFPAGE,</t>
  </si>
  <si>
    <t>WIDEBOARD</t>
  </si>
  <si>
    <t>MOBILE SCREENING³</t>
  </si>
  <si>
    <t>WIDEO</t>
  </si>
  <si>
    <t>MOBILE BANNER GÓRNY</t>
  </si>
  <si>
    <t>rozliczenie za widzialne odsłony wg standardu IAB¹</t>
  </si>
  <si>
    <t>rozliczenie CPM za rozpoczęte odtworzenia⁴</t>
  </si>
  <si>
    <t>Mailing HTML do 100 kB</t>
  </si>
  <si>
    <t>STAT. WEW.</t>
  </si>
  <si>
    <t>STAT. ZEW.</t>
  </si>
  <si>
    <t>30" i dłuższy⁴</t>
  </si>
  <si>
    <t>BIZNES</t>
  </si>
  <si>
    <t>Firma - Poszukujący pomysłu na biznes
Leasing
Podatki</t>
  </si>
  <si>
    <t>120 PLN</t>
  </si>
  <si>
    <t>180 PLN</t>
  </si>
  <si>
    <t>184 PLN</t>
  </si>
  <si>
    <t>200 PLN</t>
  </si>
  <si>
    <t>INFO I SPORT</t>
  </si>
  <si>
    <t>Siatkówka
Piłka nożna - liga hiszpańska
Piłka ręczna</t>
  </si>
  <si>
    <t>100 PLN</t>
  </si>
  <si>
    <t>150 PLN</t>
  </si>
  <si>
    <t>76 PLN</t>
  </si>
  <si>
    <t>84 PLN</t>
  </si>
  <si>
    <t>MOTORYZACJA</t>
  </si>
  <si>
    <t>Autosegment A
Design motoryzacyjny
Pojazdy zabytkowe</t>
  </si>
  <si>
    <t>52 PLN</t>
  </si>
  <si>
    <t>145 PLN</t>
  </si>
  <si>
    <t>ROZRYWKA</t>
  </si>
  <si>
    <t>Film i kinoSeriale
Ekologia
Zainteresowani esportem</t>
  </si>
  <si>
    <t>88 PLN</t>
  </si>
  <si>
    <t>96 PLN</t>
  </si>
  <si>
    <t>STYL ŻYCIA</t>
  </si>
  <si>
    <t>Uroda - Zabiegi kosmetyczne (SPA)
Kulinaria - Kuchnia meksykańska
Turystyka - Wyjazdy rodzinne (morze)
Dom i wnętrze</t>
  </si>
  <si>
    <t>57 PLN</t>
  </si>
  <si>
    <t>TECHNOLOGIA</t>
  </si>
  <si>
    <t>Sprzęt AGD
Konsole i gry
Inteligentny dom</t>
  </si>
  <si>
    <t>ZDROWIE I PARENTING</t>
  </si>
  <si>
    <t>Rodzina - Pięlęgnacja niemowlaka
Zdrowie
Grypa i przeziębienie
Medycyna naturalna</t>
  </si>
  <si>
    <t>154 PLN</t>
  </si>
  <si>
    <t>170 PLN</t>
  </si>
  <si>
    <t>GEOTARGETOWANIE</t>
  </si>
  <si>
    <t>Województwa, miasta, konkretna lokalizacja</t>
  </si>
  <si>
    <t>+50%</t>
  </si>
  <si>
    <t>RAPORT AUDIENCE</t>
  </si>
  <si>
    <t>Podsumowanie kampanii zawierającej raport Audience Discovery czyli pełny profil użytkownika (wersja podstawowa i rozszerzona).
Segmenty tworzymy pod konkretnego klienta lub konkretną kampanię.</t>
  </si>
  <si>
    <t>PROFIL DEDYKOWANY</t>
  </si>
  <si>
    <t>Unikalne grupy tworzone na potrzeby klienta / kampanii.</t>
  </si>
  <si>
    <t>+30%</t>
  </si>
  <si>
    <t>+10%</t>
  </si>
  <si>
    <t>+15%</t>
  </si>
  <si>
    <t>+100%</t>
  </si>
  <si>
    <t>+20%</t>
  </si>
  <si>
    <t>+1%</t>
  </si>
  <si>
    <t>+5%</t>
  </si>
  <si>
    <t>+40%</t>
  </si>
  <si>
    <t>+11.5%</t>
  </si>
  <si>
    <t>+15 PLN</t>
  </si>
  <si>
    <t xml:space="preserve">http://reklama.wp.pl/kat,1039751,dokumenty.html </t>
  </si>
  <si>
    <t>REKLAMA FLAT FEE</t>
  </si>
  <si>
    <t>Commercial Break 1/uu na godzinę</t>
  </si>
  <si>
    <t>Midbox FF</t>
  </si>
  <si>
    <t>Commercial Break</t>
  </si>
  <si>
    <t>WP SG, o2 SG</t>
  </si>
  <si>
    <t>ARTYKUŁ SPONSOROWANY</t>
  </si>
  <si>
    <t>ARTYKUŁ NATYWNY</t>
  </si>
  <si>
    <t>ARTYKUŁ SPONSOROWANY LOKALNY</t>
  </si>
  <si>
    <t>WIADOMOŚCI LOKALNE</t>
  </si>
  <si>
    <t>FLAT FEE / 1 tydzień</t>
  </si>
  <si>
    <t>LICZBA ARTYKUŁÓW</t>
  </si>
  <si>
    <t>PRÓG #2</t>
  </si>
  <si>
    <t>PRÓG #1</t>
  </si>
  <si>
    <t>ZASIĘG</t>
  </si>
  <si>
    <t>10 000 UU</t>
  </si>
  <si>
    <t>2 x 10 000 UU</t>
  </si>
  <si>
    <t>3 x 10 000 UU</t>
  </si>
  <si>
    <t>4 x 10 000 UU</t>
  </si>
  <si>
    <t>12 500 UU</t>
  </si>
  <si>
    <t>2 x 12 500 UU</t>
  </si>
  <si>
    <t>3 x 12 500 UU</t>
  </si>
  <si>
    <t>4 x 12 500 UU</t>
  </si>
  <si>
    <t>1 tydzień</t>
  </si>
  <si>
    <t>CENA NET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</si>
</sst>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67">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0000"/>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10"/>
      <color theme="0"/>
      <name val="Tahoma"/>
      <family val="2"/>
      <charset val="238"/>
    </font>
    <font>
      <b/>
      <sz val="8"/>
      <color theme="1"/>
      <name val="Tahoma"/>
      <family val="2"/>
      <charset val="238"/>
    </font>
    <font>
      <sz val="6"/>
      <color theme="1"/>
      <name val="Tahoma"/>
      <family val="2"/>
      <charset val="238"/>
    </font>
    <font>
      <b/>
      <sz val="8"/>
      <color theme="0" tint="-0.249977111117893"/>
      <name val="Tahoma"/>
      <family val="2"/>
      <charset val="238"/>
    </font>
  </fonts>
  <fills count="2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s>
  <borders count="127">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style="thin">
        <color theme="1"/>
      </left>
      <right style="hair">
        <color indexed="64"/>
      </right>
      <top/>
      <bottom style="thin">
        <color indexed="64"/>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style="thin">
        <color rgb="FFC00000"/>
      </left>
      <right/>
      <top style="thin">
        <color rgb="FFC00000"/>
      </top>
      <bottom style="thin">
        <color theme="0"/>
      </bottom>
      <diagonal/>
    </border>
    <border>
      <left/>
      <right style="thick">
        <color rgb="FFFF0000"/>
      </right>
      <top/>
      <bottom/>
      <diagonal/>
    </border>
    <border>
      <left/>
      <right/>
      <top/>
      <bottom style="thick">
        <color rgb="FFFF0000"/>
      </bottom>
      <diagonal/>
    </border>
    <border>
      <left/>
      <right style="thin">
        <color indexed="64"/>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top style="thin">
        <color theme="0"/>
      </top>
      <bottom style="thin">
        <color rgb="FFFF0000"/>
      </bottom>
      <diagonal/>
    </border>
    <border>
      <left/>
      <right style="thin">
        <color theme="0"/>
      </right>
      <top/>
      <bottom/>
      <diagonal/>
    </border>
    <border>
      <left style="thin">
        <color indexed="64"/>
      </left>
      <right style="hair">
        <color indexed="64"/>
      </right>
      <top/>
      <bottom style="thin">
        <color theme="1"/>
      </bottom>
      <diagonal/>
    </border>
    <border>
      <left style="thin">
        <color theme="1"/>
      </left>
      <right style="hair">
        <color indexed="64"/>
      </right>
      <top/>
      <bottom style="thin">
        <color theme="1"/>
      </bottom>
      <diagonal/>
    </border>
    <border>
      <left/>
      <right style="thin">
        <color theme="1"/>
      </right>
      <top/>
      <bottom style="thin">
        <color theme="1"/>
      </bottom>
      <diagonal/>
    </border>
    <border>
      <left style="thin">
        <color theme="1"/>
      </left>
      <right style="hair">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right style="thin">
        <color theme="1" tint="0.14999847407452621"/>
      </right>
      <top style="thin">
        <color indexed="64"/>
      </top>
      <bottom style="thin">
        <color indexed="64"/>
      </bottom>
      <diagonal/>
    </border>
    <border>
      <left style="thin">
        <color indexed="64"/>
      </left>
      <right style="thin">
        <color indexed="64"/>
      </right>
      <top style="thin">
        <color theme="0"/>
      </top>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bottom style="thin">
        <color rgb="FFC00000"/>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style="thick">
        <color rgb="FFFF0000"/>
      </right>
      <top/>
      <bottom style="thick">
        <color rgb="FFFF0000"/>
      </bottom>
      <diagonal/>
    </border>
    <border>
      <left/>
      <right/>
      <top style="thin">
        <color theme="0"/>
      </top>
      <bottom/>
      <diagonal/>
    </border>
    <border>
      <left style="thin">
        <color indexed="64"/>
      </left>
      <right/>
      <top/>
      <bottom style="thick">
        <color rgb="FFFF0000"/>
      </bottom>
      <diagonal/>
    </border>
    <border>
      <left/>
      <right style="hair">
        <color indexed="64"/>
      </right>
      <top/>
      <bottom style="thick">
        <color rgb="FFFF0000"/>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right style="thin">
        <color theme="1"/>
      </right>
      <top style="thin">
        <color indexed="64"/>
      </top>
      <bottom style="thin">
        <color indexed="64"/>
      </bottom>
      <diagonal/>
    </border>
    <border>
      <left style="thin">
        <color theme="0"/>
      </left>
      <right/>
      <top/>
      <bottom/>
      <diagonal/>
    </border>
    <border>
      <left/>
      <right style="thin">
        <color theme="0"/>
      </right>
      <top style="thin">
        <color rgb="FFC00000"/>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theme="0"/>
      </top>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028">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165" fontId="30" fillId="4" borderId="0" xfId="0" applyNumberFormat="1" applyFont="1" applyFill="1" applyBorder="1" applyAlignment="1">
      <alignment horizontal="center"/>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42"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0" fillId="4" borderId="0" xfId="0" applyFont="1" applyFill="1"/>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40" fillId="4" borderId="0" xfId="0" applyFont="1" applyFill="1" applyBorder="1" applyAlignment="1">
      <alignment horizontal="left" vertical="center" indent="1"/>
    </xf>
    <xf numFmtId="0" fontId="0" fillId="4" borderId="43" xfId="0"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42"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0" fillId="4" borderId="0" xfId="0" applyFont="1" applyFill="1"/>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44" xfId="0" applyNumberFormat="1" applyFont="1" applyFill="1" applyBorder="1"/>
    <xf numFmtId="165" fontId="34" fillId="13" borderId="45" xfId="0" applyNumberFormat="1" applyFont="1" applyFill="1" applyBorder="1" applyAlignment="1">
      <alignment horizontal="center" vertical="center"/>
    </xf>
    <xf numFmtId="0" fontId="34" fillId="13" borderId="44" xfId="0" applyFont="1" applyFill="1" applyBorder="1"/>
    <xf numFmtId="0" fontId="30" fillId="13" borderId="0" xfId="0" applyFont="1" applyFill="1"/>
    <xf numFmtId="0" fontId="30" fillId="13" borderId="45" xfId="0" applyFont="1" applyFill="1" applyBorder="1"/>
    <xf numFmtId="0" fontId="34" fillId="13" borderId="45" xfId="0" applyFont="1" applyFill="1" applyBorder="1"/>
    <xf numFmtId="0" fontId="30" fillId="13" borderId="44" xfId="0" applyFont="1" applyFill="1" applyBorder="1"/>
    <xf numFmtId="0" fontId="34" fillId="9" borderId="0" xfId="0" applyFont="1" applyFill="1"/>
    <xf numFmtId="0" fontId="45" fillId="9" borderId="43" xfId="0" applyFont="1" applyFill="1" applyBorder="1" applyAlignment="1">
      <alignment vertical="center" wrapText="1" readingOrder="1"/>
    </xf>
    <xf numFmtId="0" fontId="30" fillId="4" borderId="0" xfId="0" applyFont="1" applyFill="1"/>
    <xf numFmtId="0" fontId="34" fillId="4" borderId="46"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7" xfId="0" applyNumberFormat="1" applyFont="1" applyFill="1" applyBorder="1" applyAlignment="1">
      <alignment horizontal="center" vertical="center"/>
    </xf>
    <xf numFmtId="169" fontId="34" fillId="13" borderId="4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7" xfId="11" applyFont="1" applyFill="1" applyBorder="1" applyAlignment="1">
      <alignment horizontal="left" indent="1"/>
    </xf>
    <xf numFmtId="0" fontId="47" fillId="4" borderId="12" xfId="11" applyFont="1" applyFill="1" applyBorder="1" applyAlignment="1">
      <alignment horizontal="left" indent="1"/>
    </xf>
    <xf numFmtId="0" fontId="47" fillId="4" borderId="6" xfId="11" applyFont="1" applyFill="1" applyBorder="1" applyAlignment="1">
      <alignment horizontal="left" indent="1"/>
    </xf>
    <xf numFmtId="0" fontId="47" fillId="4" borderId="7" xfId="11" applyFont="1" applyFill="1" applyBorder="1" applyAlignment="1">
      <alignment horizontal="left" indent="1"/>
    </xf>
    <xf numFmtId="0" fontId="47" fillId="4" borderId="21" xfId="11" applyFont="1" applyFill="1" applyBorder="1" applyAlignment="1">
      <alignment horizontal="left" indent="1"/>
    </xf>
    <xf numFmtId="0" fontId="47" fillId="4" borderId="2" xfId="11" applyFont="1" applyFill="1" applyBorder="1" applyAlignment="1">
      <alignment horizontal="left" indent="1"/>
    </xf>
    <xf numFmtId="0" fontId="47" fillId="4" borderId="11" xfId="11" applyFont="1" applyFill="1" applyBorder="1" applyAlignment="1">
      <alignment horizontal="left" indent="1"/>
    </xf>
    <xf numFmtId="0" fontId="34" fillId="4" borderId="14" xfId="0" applyFont="1" applyFill="1" applyBorder="1" applyAlignment="1">
      <alignment horizontal="center" vertical="center"/>
    </xf>
    <xf numFmtId="0" fontId="34" fillId="4" borderId="51" xfId="0" applyFont="1" applyFill="1" applyBorder="1" applyAlignment="1">
      <alignment horizontal="left" vertical="center" wrapText="1" indent="1"/>
    </xf>
    <xf numFmtId="3" fontId="34" fillId="4" borderId="14" xfId="0" applyNumberFormat="1" applyFont="1" applyFill="1" applyBorder="1" applyAlignment="1">
      <alignment horizontal="center" vertical="center"/>
    </xf>
    <xf numFmtId="0" fontId="45" fillId="9" borderId="42" xfId="0" applyFont="1" applyFill="1" applyBorder="1" applyAlignment="1">
      <alignment horizontal="center"/>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indent="1"/>
    </xf>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53"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42" xfId="8" applyNumberFormat="1" applyFont="1" applyFill="1" applyBorder="1" applyAlignment="1">
      <alignment horizontal="center" vertical="center"/>
    </xf>
    <xf numFmtId="6" fontId="34" fillId="4" borderId="0" xfId="0"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169" fontId="19" fillId="4" borderId="17"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169" fontId="19" fillId="4" borderId="24" xfId="0" applyNumberFormat="1" applyFont="1" applyFill="1" applyBorder="1" applyAlignment="1">
      <alignment horizontal="center" vertical="center"/>
    </xf>
    <xf numFmtId="169" fontId="34" fillId="4" borderId="54" xfId="0" applyNumberFormat="1" applyFont="1" applyFill="1" applyBorder="1" applyAlignment="1">
      <alignment horizontal="center" vertical="center"/>
    </xf>
    <xf numFmtId="172" fontId="19" fillId="4" borderId="14" xfId="35" applyNumberFormat="1" applyFont="1" applyFill="1" applyBorder="1" applyAlignment="1">
      <alignment horizontal="center" vertical="center"/>
    </xf>
    <xf numFmtId="172" fontId="19" fillId="4" borderId="9" xfId="35" applyNumberFormat="1" applyFont="1" applyFill="1" applyBorder="1" applyAlignment="1">
      <alignment horizontal="center" vertical="center"/>
    </xf>
    <xf numFmtId="172" fontId="19" fillId="4" borderId="5" xfId="35" applyNumberFormat="1" applyFont="1" applyFill="1" applyBorder="1" applyAlignment="1">
      <alignment horizontal="center" vertical="center"/>
    </xf>
    <xf numFmtId="172" fontId="34" fillId="4" borderId="9" xfId="35" applyNumberFormat="1" applyFont="1" applyFill="1" applyBorder="1" applyAlignment="1">
      <alignment horizontal="center" vertical="center"/>
    </xf>
    <xf numFmtId="169" fontId="47" fillId="4" borderId="11" xfId="8" applyNumberFormat="1" applyFont="1" applyFill="1" applyBorder="1" applyAlignment="1">
      <alignment horizontal="center"/>
    </xf>
    <xf numFmtId="169" fontId="47" fillId="4" borderId="8" xfId="8" applyNumberFormat="1" applyFont="1" applyFill="1" applyBorder="1" applyAlignment="1">
      <alignment horizontal="center"/>
    </xf>
    <xf numFmtId="169" fontId="47" fillId="4" borderId="12" xfId="8" applyNumberFormat="1" applyFont="1" applyFill="1" applyBorder="1" applyAlignment="1">
      <alignment horizontal="center"/>
    </xf>
    <xf numFmtId="169" fontId="47" fillId="4" borderId="9" xfId="8" applyNumberFormat="1" applyFont="1" applyFill="1" applyBorder="1" applyAlignment="1">
      <alignment horizontal="center"/>
    </xf>
    <xf numFmtId="169" fontId="47" fillId="4" borderId="7" xfId="8" applyNumberFormat="1" applyFont="1" applyFill="1" applyBorder="1" applyAlignment="1">
      <alignment horizontal="center"/>
    </xf>
    <xf numFmtId="169" fontId="47" fillId="4" borderId="10" xfId="8" applyNumberFormat="1" applyFont="1" applyFill="1" applyBorder="1" applyAlignment="1">
      <alignment horizont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56" xfId="0" applyFont="1" applyFill="1" applyBorder="1" applyAlignment="1">
      <alignment horizontal="center" vertical="center" textRotation="90"/>
    </xf>
    <xf numFmtId="0" fontId="30" fillId="4" borderId="56" xfId="0" applyFont="1" applyFill="1" applyBorder="1"/>
    <xf numFmtId="0" fontId="17" fillId="6" borderId="14" xfId="0" applyNumberFormat="1" applyFont="1" applyFill="1" applyBorder="1" applyAlignment="1">
      <alignment horizontal="center" vertical="center"/>
    </xf>
    <xf numFmtId="169" fontId="17" fillId="6" borderId="14" xfId="0" applyNumberFormat="1" applyFont="1" applyFill="1" applyBorder="1" applyAlignment="1">
      <alignment horizontal="center" vertical="center"/>
    </xf>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169" fontId="34" fillId="4" borderId="12" xfId="0" applyNumberFormat="1" applyFont="1" applyFill="1" applyBorder="1" applyAlignment="1">
      <alignment vertical="center"/>
    </xf>
    <xf numFmtId="169" fontId="34" fillId="4" borderId="17" xfId="0" applyNumberFormat="1" applyFont="1" applyFill="1" applyBorder="1" applyAlignment="1">
      <alignment horizontal="right" vertical="center"/>
    </xf>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7" xfId="0" applyFont="1" applyFill="1" applyBorder="1" applyAlignment="1">
      <alignment horizontal="center" vertical="center" wrapText="1" readingOrder="1"/>
    </xf>
    <xf numFmtId="0" fontId="21" fillId="15" borderId="58" xfId="0" applyFont="1" applyFill="1" applyBorder="1" applyAlignment="1">
      <alignment horizontal="center" vertical="center" wrapText="1"/>
    </xf>
    <xf numFmtId="0" fontId="45" fillId="15" borderId="0" xfId="8" applyFont="1" applyFill="1" applyBorder="1" applyAlignment="1">
      <alignment horizontal="center" vertical="center"/>
    </xf>
    <xf numFmtId="0" fontId="45" fillId="15" borderId="42" xfId="8" applyFont="1" applyFill="1" applyBorder="1" applyAlignment="1">
      <alignment horizontal="center" vertical="center"/>
    </xf>
    <xf numFmtId="171" fontId="55" fillId="4" borderId="10" xfId="8" applyNumberFormat="1" applyFont="1" applyFill="1" applyBorder="1" applyAlignment="1">
      <alignment horizontal="center" vertical="center"/>
    </xf>
    <xf numFmtId="0" fontId="34" fillId="4" borderId="0" xfId="0" applyFont="1" applyFill="1" applyBorder="1" applyAlignment="1">
      <alignment horizontal="center" vertical="center"/>
    </xf>
    <xf numFmtId="0" fontId="34" fillId="4" borderId="0" xfId="0" applyFont="1" applyFill="1" applyBorder="1" applyAlignment="1">
      <alignment horizontal="left"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0" fontId="19" fillId="4" borderId="5"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34" fillId="4" borderId="3" xfId="0" applyFont="1" applyFill="1" applyBorder="1" applyAlignment="1">
      <alignment horizontal="left" vertical="center" indent="1"/>
    </xf>
    <xf numFmtId="0" fontId="34" fillId="4" borderId="1" xfId="0" applyFont="1" applyFill="1" applyBorder="1" applyAlignment="1">
      <alignment horizontal="right" vertical="center" indent="1"/>
    </xf>
    <xf numFmtId="49" fontId="19" fillId="4" borderId="10"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9" xfId="0" applyFont="1" applyFill="1" applyBorder="1" applyAlignment="1">
      <alignment horizontal="center" vertical="center"/>
    </xf>
    <xf numFmtId="0" fontId="45" fillId="15" borderId="60" xfId="0" applyFont="1" applyFill="1" applyBorder="1" applyAlignment="1">
      <alignment horizontal="center" vertical="center" wrapText="1"/>
    </xf>
    <xf numFmtId="0" fontId="45" fillId="15" borderId="61" xfId="0" applyFont="1" applyFill="1" applyBorder="1" applyAlignment="1">
      <alignment horizontal="center" vertical="center"/>
    </xf>
    <xf numFmtId="0" fontId="52" fillId="9" borderId="52" xfId="0" applyFont="1" applyFill="1" applyBorder="1" applyAlignment="1">
      <alignment horizontal="left" vertical="center" indent="1"/>
    </xf>
    <xf numFmtId="0" fontId="52" fillId="9" borderId="62" xfId="0" applyFont="1" applyFill="1" applyBorder="1" applyAlignment="1">
      <alignment horizontal="left" vertical="center" wrapText="1" indent="1"/>
    </xf>
    <xf numFmtId="0" fontId="52" fillId="9" borderId="63" xfId="0" applyFont="1" applyFill="1" applyBorder="1" applyAlignment="1">
      <alignment horizontal="left" vertical="center" indent="1"/>
    </xf>
    <xf numFmtId="169" fontId="57" fillId="4" borderId="23" xfId="0" applyNumberFormat="1" applyFont="1" applyFill="1" applyBorder="1" applyAlignment="1">
      <alignment horizontal="center" vertical="center"/>
    </xf>
    <xf numFmtId="0" fontId="45" fillId="9" borderId="64" xfId="0" applyFont="1" applyFill="1" applyBorder="1" applyAlignment="1">
      <alignment horizontal="left" vertical="center" indent="1"/>
    </xf>
    <xf numFmtId="0" fontId="19" fillId="13" borderId="29" xfId="0" applyNumberFormat="1" applyFont="1" applyFill="1" applyBorder="1" applyAlignment="1" applyProtection="1">
      <alignment vertical="center" wrapText="1"/>
    </xf>
    <xf numFmtId="0" fontId="19" fillId="13" borderId="45" xfId="0" applyNumberFormat="1" applyFont="1" applyFill="1" applyBorder="1" applyAlignment="1" applyProtection="1">
      <alignment vertical="center" wrapText="1"/>
    </xf>
    <xf numFmtId="0" fontId="19" fillId="13" borderId="29" xfId="0" applyNumberFormat="1" applyFont="1" applyFill="1" applyBorder="1" applyAlignment="1" applyProtection="1">
      <alignment vertical="center"/>
    </xf>
    <xf numFmtId="0" fontId="34" fillId="4" borderId="27"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4" fillId="16" borderId="1" xfId="0" applyFont="1" applyFill="1" applyBorder="1" applyAlignment="1">
      <alignment vertical="center" textRotation="90"/>
    </xf>
    <xf numFmtId="169" fontId="34" fillId="4" borderId="30" xfId="0" applyNumberFormat="1" applyFont="1" applyFill="1" applyBorder="1" applyAlignment="1">
      <alignment horizontal="center" vertical="center"/>
    </xf>
    <xf numFmtId="0" fontId="30" fillId="4" borderId="65" xfId="0" applyFont="1" applyFill="1" applyBorder="1"/>
    <xf numFmtId="0" fontId="30" fillId="4" borderId="66" xfId="0" applyFont="1" applyFill="1" applyBorder="1"/>
    <xf numFmtId="169" fontId="23" fillId="4" borderId="24" xfId="0" applyNumberFormat="1" applyFont="1" applyFill="1" applyBorder="1" applyAlignment="1">
      <alignment horizontal="center" vertical="center"/>
    </xf>
    <xf numFmtId="3" fontId="34" fillId="4" borderId="1" xfId="0" applyNumberFormat="1" applyFont="1" applyFill="1" applyBorder="1" applyAlignment="1">
      <alignment horizontal="right" vertical="center" wrapText="1" indent="1"/>
    </xf>
    <xf numFmtId="3" fontId="34" fillId="4" borderId="67" xfId="0" applyNumberFormat="1" applyFont="1" applyFill="1" applyBorder="1" applyAlignment="1">
      <alignment horizontal="right" vertical="center" wrapText="1" indent="1"/>
    </xf>
    <xf numFmtId="0" fontId="45" fillId="9" borderId="68" xfId="0" applyFont="1" applyFill="1" applyBorder="1" applyAlignment="1">
      <alignment vertical="center" wrapText="1"/>
    </xf>
    <xf numFmtId="0" fontId="45" fillId="9" borderId="69" xfId="0" applyFont="1" applyFill="1" applyBorder="1" applyAlignment="1">
      <alignment vertical="center" wrapText="1"/>
    </xf>
    <xf numFmtId="3" fontId="34" fillId="4" borderId="11" xfId="0" applyNumberFormat="1" applyFont="1" applyFill="1" applyBorder="1" applyAlignment="1">
      <alignment horizontal="right" vertical="center" wrapText="1" indent="1"/>
    </xf>
    <xf numFmtId="49" fontId="19" fillId="4" borderId="15" xfId="0" applyNumberFormat="1" applyFont="1" applyFill="1" applyBorder="1" applyAlignment="1">
      <alignment horizontal="center" vertical="center"/>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52" xfId="0" applyFont="1" applyFill="1" applyBorder="1" applyAlignment="1">
      <alignment horizontal="left" vertical="center" indent="1"/>
    </xf>
    <xf numFmtId="169" fontId="34" fillId="4" borderId="23" xfId="0" applyNumberFormat="1" applyFont="1" applyFill="1" applyBorder="1" applyAlignment="1">
      <alignment horizontal="center" vertical="center"/>
    </xf>
    <xf numFmtId="169" fontId="34" fillId="4" borderId="24" xfId="0" applyNumberFormat="1" applyFont="1" applyFill="1" applyBorder="1" applyAlignment="1">
      <alignment horizontal="center" vertical="center"/>
    </xf>
    <xf numFmtId="169" fontId="47" fillId="4" borderId="24"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4" borderId="24" xfId="0" applyNumberFormat="1" applyFont="1" applyFill="1" applyBorder="1" applyAlignment="1">
      <alignment horizontal="center" vertical="center" wrapText="1"/>
    </xf>
    <xf numFmtId="0" fontId="45" fillId="9" borderId="52" xfId="0" applyFont="1" applyFill="1" applyBorder="1" applyAlignment="1">
      <alignment horizontal="left" vertical="center" wrapText="1" indent="1"/>
    </xf>
    <xf numFmtId="0" fontId="58" fillId="9" borderId="70" xfId="0" applyFont="1" applyFill="1" applyBorder="1" applyAlignment="1">
      <alignment horizontal="center" vertical="center" wrapText="1"/>
    </xf>
    <xf numFmtId="0" fontId="45" fillId="9" borderId="71" xfId="0" applyFont="1" applyFill="1" applyBorder="1" applyAlignment="1">
      <alignment horizontal="left" vertical="center" wrapText="1" indent="1"/>
    </xf>
    <xf numFmtId="6" fontId="16" fillId="4" borderId="25" xfId="0" applyNumberFormat="1" applyFont="1" applyFill="1" applyBorder="1" applyAlignment="1">
      <alignment horizontal="left" vertical="center" wrapText="1" indent="1"/>
    </xf>
    <xf numFmtId="6" fontId="16" fillId="4" borderId="11" xfId="0" applyNumberFormat="1" applyFont="1" applyFill="1" applyBorder="1" applyAlignment="1">
      <alignment horizontal="left" vertical="center" wrapText="1"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0" fontId="45" fillId="15" borderId="0" xfId="0" applyFont="1" applyFill="1" applyBorder="1" applyAlignment="1">
      <alignment horizontal="center" vertical="center"/>
    </xf>
    <xf numFmtId="0" fontId="58" fillId="9" borderId="72" xfId="0" applyFont="1" applyFill="1" applyBorder="1" applyAlignment="1">
      <alignment horizontal="center" vertical="center" wrapText="1"/>
    </xf>
    <xf numFmtId="0" fontId="45" fillId="15" borderId="72" xfId="0" applyFont="1" applyFill="1" applyBorder="1" applyAlignment="1">
      <alignment horizontal="center" vertical="center"/>
    </xf>
    <xf numFmtId="0" fontId="34" fillId="4" borderId="73"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74" xfId="0" applyFont="1" applyFill="1" applyBorder="1" applyAlignment="1">
      <alignment horizontal="center" vertical="center"/>
    </xf>
    <xf numFmtId="0" fontId="34" fillId="4" borderId="76" xfId="0" applyFont="1" applyFill="1" applyBorder="1" applyAlignment="1">
      <alignment horizontal="center"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78" xfId="0" applyFont="1" applyFill="1" applyBorder="1" applyAlignment="1">
      <alignment horizontal="left" vertical="center" wrapText="1" indent="1"/>
    </xf>
    <xf numFmtId="0" fontId="34" fillId="4" borderId="25" xfId="0" applyFont="1" applyFill="1" applyBorder="1" applyAlignment="1">
      <alignment vertical="center"/>
    </xf>
    <xf numFmtId="0" fontId="34" fillId="4" borderId="11" xfId="0" applyFont="1" applyFill="1" applyBorder="1" applyAlignment="1">
      <alignment vertical="center"/>
    </xf>
    <xf numFmtId="165" fontId="19" fillId="4" borderId="15" xfId="0" applyNumberFormat="1" applyFont="1" applyFill="1" applyBorder="1" applyAlignment="1">
      <alignment horizontal="center" vertical="center"/>
    </xf>
    <xf numFmtId="169" fontId="19" fillId="4" borderId="79" xfId="0" applyNumberFormat="1" applyFont="1" applyFill="1" applyBorder="1" applyAlignment="1">
      <alignment horizontal="center" vertical="center"/>
    </xf>
    <xf numFmtId="0" fontId="19" fillId="4" borderId="15" xfId="0" applyNumberFormat="1" applyFont="1" applyFill="1" applyBorder="1" applyAlignment="1">
      <alignment horizontal="center" vertical="center"/>
    </xf>
    <xf numFmtId="171" fontId="55" fillId="4" borderId="15" xfId="8" applyNumberFormat="1" applyFont="1" applyFill="1" applyBorder="1" applyAlignment="1">
      <alignment horizontal="center" vertical="center"/>
    </xf>
    <xf numFmtId="171" fontId="55" fillId="4" borderId="16" xfId="8"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47" fillId="4" borderId="32" xfId="0" applyFont="1" applyFill="1" applyBorder="1" applyAlignment="1">
      <alignment horizontal="center" vertical="center"/>
    </xf>
    <xf numFmtId="169" fontId="47" fillId="4" borderId="32" xfId="0" applyNumberFormat="1" applyFont="1" applyFill="1" applyBorder="1" applyAlignment="1">
      <alignment horizontal="center" vertical="center"/>
    </xf>
    <xf numFmtId="169" fontId="52" fillId="17" borderId="8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60" fillId="5" borderId="0" xfId="0" applyFont="1" applyFill="1"/>
    <xf numFmtId="0" fontId="0" fillId="4" borderId="1" xfId="0" applyFill="1" applyBorder="1"/>
    <xf numFmtId="0" fontId="52" fillId="9" borderId="62" xfId="0" applyFont="1" applyFill="1" applyBorder="1" applyAlignment="1">
      <alignment horizontal="left" vertical="center" indent="1"/>
    </xf>
    <xf numFmtId="0" fontId="59" fillId="4" borderId="93" xfId="0" applyFont="1" applyFill="1" applyBorder="1" applyAlignment="1">
      <alignment horizontal="left" vertical="center" indent="1"/>
    </xf>
    <xf numFmtId="0" fontId="45" fillId="9" borderId="62" xfId="0" applyFont="1" applyFill="1" applyBorder="1" applyAlignment="1">
      <alignment horizontal="left" vertical="center" indent="1"/>
    </xf>
    <xf numFmtId="0" fontId="55" fillId="4" borderId="93" xfId="0" applyFont="1" applyFill="1" applyBorder="1" applyAlignment="1">
      <alignment horizontal="left" vertical="center" wrapText="1" indent="1"/>
    </xf>
    <xf numFmtId="0" fontId="64" fillId="4" borderId="9" xfId="0" applyFont="1" applyFill="1" applyBorder="1" applyAlignment="1">
      <alignment horizontal="left" vertical="center" indent="1"/>
    </xf>
    <xf numFmtId="0" fontId="64" fillId="4" borderId="10" xfId="0" applyFont="1" applyFill="1" applyBorder="1" applyAlignment="1">
      <alignment horizontal="left" vertical="center" indent="1"/>
    </xf>
    <xf numFmtId="0" fontId="64" fillId="4" borderId="8" xfId="0" applyFont="1" applyFill="1" applyBorder="1" applyAlignment="1">
      <alignment horizontal="left" vertical="center" indent="1"/>
    </xf>
    <xf numFmtId="0" fontId="66" fillId="9" borderId="0" xfId="0" applyFont="1" applyFill="1" applyBorder="1" applyAlignment="1">
      <alignment horizontal="center" vertical="center"/>
    </xf>
    <xf numFmtId="0" fontId="46" fillId="5" borderId="0" xfId="0" applyFont="1" applyFill="1" applyBorder="1" applyAlignment="1">
      <alignment horizontal="right" vertical="center"/>
    </xf>
    <xf numFmtId="0" fontId="66" fillId="9" borderId="58" xfId="0"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55" xfId="0" applyNumberFormat="1" applyFont="1" applyFill="1" applyBorder="1" applyAlignment="1">
      <alignment horizontal="center" vertical="center"/>
    </xf>
    <xf numFmtId="169" fontId="34" fillId="13" borderId="31"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wrapText="1"/>
    </xf>
    <xf numFmtId="169" fontId="47" fillId="13" borderId="25" xfId="0" applyNumberFormat="1" applyFont="1" applyFill="1" applyBorder="1" applyAlignment="1">
      <alignment horizontal="center" vertical="center" wrapText="1"/>
    </xf>
    <xf numFmtId="169" fontId="34" fillId="13" borderId="25" xfId="0" applyNumberFormat="1" applyFont="1" applyFill="1" applyBorder="1" applyAlignment="1">
      <alignment horizontal="center" vertical="center" wrapText="1"/>
    </xf>
    <xf numFmtId="169" fontId="34" fillId="13" borderId="25" xfId="0" applyNumberFormat="1" applyFont="1" applyFill="1" applyBorder="1" applyAlignment="1">
      <alignment horizontal="center" vertical="center"/>
    </xf>
    <xf numFmtId="169" fontId="19" fillId="13" borderId="25" xfId="0" applyNumberFormat="1" applyFont="1" applyFill="1" applyBorder="1" applyAlignment="1">
      <alignment horizontal="center" vertical="center"/>
    </xf>
    <xf numFmtId="169" fontId="47" fillId="13" borderId="11" xfId="0" applyNumberFormat="1" applyFont="1" applyFill="1" applyBorder="1" applyAlignment="1">
      <alignment horizontal="center" vertical="center" wrapText="1"/>
    </xf>
    <xf numFmtId="169" fontId="47" fillId="13" borderId="25" xfId="0" applyNumberFormat="1"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1" xfId="0" applyFont="1" applyFill="1" applyBorder="1" applyAlignment="1">
      <alignment horizontal="center" vertical="center"/>
    </xf>
    <xf numFmtId="0" fontId="34" fillId="13" borderId="75" xfId="0" applyFont="1" applyFill="1" applyBorder="1" applyAlignment="1">
      <alignment horizontal="center" vertical="center"/>
    </xf>
    <xf numFmtId="0" fontId="34" fillId="13" borderId="77" xfId="0" applyFont="1" applyFill="1" applyBorder="1" applyAlignment="1">
      <alignment horizontal="center" vertical="center"/>
    </xf>
    <xf numFmtId="0" fontId="34" fillId="13" borderId="8" xfId="0" applyFont="1" applyFill="1" applyBorder="1" applyAlignment="1">
      <alignment horizontal="left" vertical="center" wrapText="1" indent="1"/>
    </xf>
    <xf numFmtId="169" fontId="34" fillId="13" borderId="17" xfId="0" applyNumberFormat="1" applyFont="1" applyFill="1" applyBorder="1" applyAlignment="1">
      <alignment horizontal="right" vertical="center"/>
    </xf>
    <xf numFmtId="169" fontId="34" fillId="13" borderId="12" xfId="0" applyNumberFormat="1" applyFont="1" applyFill="1" applyBorder="1" applyAlignment="1">
      <alignment vertical="center"/>
    </xf>
    <xf numFmtId="0" fontId="19" fillId="13" borderId="8" xfId="0" applyFont="1" applyFill="1" applyBorder="1" applyAlignment="1">
      <alignment horizontal="center" vertical="center" wrapText="1" readingOrder="1"/>
    </xf>
    <xf numFmtId="172" fontId="19" fillId="13" borderId="8" xfId="35" applyNumberFormat="1" applyFont="1" applyFill="1" applyBorder="1" applyAlignment="1">
      <alignment horizontal="center" vertical="center"/>
    </xf>
    <xf numFmtId="0" fontId="19" fillId="13" borderId="4" xfId="0" applyFont="1" applyFill="1" applyBorder="1" applyAlignment="1">
      <alignment horizontal="center" vertical="center" wrapText="1" readingOrder="1"/>
    </xf>
    <xf numFmtId="169" fontId="47" fillId="13" borderId="7" xfId="0" applyNumberFormat="1" applyFont="1" applyFill="1" applyBorder="1" applyAlignment="1">
      <alignment horizontal="center" vertical="center"/>
    </xf>
    <xf numFmtId="169" fontId="47" fillId="13" borderId="12" xfId="0" applyNumberFormat="1" applyFont="1" applyFill="1" applyBorder="1" applyAlignment="1">
      <alignment horizontal="center" vertical="center"/>
    </xf>
    <xf numFmtId="169" fontId="47" fillId="13" borderId="13" xfId="0" applyNumberFormat="1" applyFont="1" applyFill="1" applyBorder="1" applyAlignment="1">
      <alignment horizontal="center" vertical="center"/>
    </xf>
    <xf numFmtId="169" fontId="47" fillId="13" borderId="1" xfId="0" applyNumberFormat="1" applyFont="1" applyFill="1" applyBorder="1" applyAlignment="1">
      <alignment horizontal="center" vertical="center"/>
    </xf>
    <xf numFmtId="0" fontId="34" fillId="4" borderId="0" xfId="0" applyFont="1" applyFill="1"/>
    <xf numFmtId="0" fontId="46" fillId="5" borderId="0" xfId="0" applyFont="1" applyFill="1" applyAlignment="1">
      <alignment horizontal="right" vertical="center"/>
    </xf>
    <xf numFmtId="0" fontId="64" fillId="4" borderId="0" xfId="0" applyFont="1" applyFill="1" applyBorder="1" applyAlignment="1">
      <alignment horizontal="left" vertical="center" indent="1"/>
    </xf>
    <xf numFmtId="0" fontId="47" fillId="4" borderId="0" xfId="0" applyFont="1" applyFill="1" applyBorder="1" applyAlignment="1">
      <alignment vertical="center"/>
    </xf>
    <xf numFmtId="0" fontId="64" fillId="4" borderId="0" xfId="0" applyFont="1" applyFill="1" applyBorder="1" applyAlignment="1">
      <alignment horizontal="left" vertical="center"/>
    </xf>
    <xf numFmtId="0" fontId="64"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7" borderId="31" xfId="0" applyFont="1" applyFill="1" applyBorder="1" applyAlignment="1">
      <alignment horizontal="center" vertical="center"/>
    </xf>
    <xf numFmtId="0" fontId="47" fillId="4" borderId="0"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0" xfId="0" applyFont="1" applyFill="1" applyBorder="1" applyAlignment="1">
      <alignment horizontal="center" vertical="center"/>
    </xf>
    <xf numFmtId="0" fontId="45" fillId="9" borderId="43" xfId="0" applyFont="1" applyFill="1" applyBorder="1" applyAlignment="1">
      <alignment horizontal="center" vertical="center"/>
    </xf>
    <xf numFmtId="0" fontId="19" fillId="4" borderId="6"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19" fillId="4" borderId="17" xfId="0" applyFont="1" applyFill="1" applyBorder="1" applyAlignment="1">
      <alignment horizontal="left" vertical="center" indent="1"/>
    </xf>
    <xf numFmtId="0" fontId="45" fillId="9" borderId="42"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6" xfId="0" applyFont="1" applyFill="1" applyBorder="1" applyAlignment="1">
      <alignment horizontal="left" vertical="center" indent="1"/>
    </xf>
    <xf numFmtId="0" fontId="34" fillId="4" borderId="2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5" fillId="9" borderId="42" xfId="0" applyFont="1" applyFill="1" applyBorder="1" applyAlignment="1">
      <alignment horizontal="center" vertical="center" wrapText="1" readingOrder="1"/>
    </xf>
    <xf numFmtId="0" fontId="52" fillId="9" borderId="42" xfId="0" applyFont="1" applyFill="1" applyBorder="1" applyAlignment="1">
      <alignment horizontal="center" vertical="center"/>
    </xf>
    <xf numFmtId="0" fontId="52" fillId="9" borderId="0" xfId="0" applyFont="1" applyFill="1" applyBorder="1" applyAlignment="1">
      <alignment horizontal="center" vertical="center"/>
    </xf>
    <xf numFmtId="0" fontId="64" fillId="4" borderId="7" xfId="0" applyFont="1" applyFill="1" applyBorder="1" applyAlignment="1">
      <alignment horizontal="left" vertical="center"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52" fillId="9" borderId="0" xfId="0" applyFont="1" applyFill="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0" fontId="34" fillId="4" borderId="10" xfId="0" applyFont="1" applyFill="1" applyBorder="1" applyAlignment="1">
      <alignment horizontal="center" vertical="center"/>
    </xf>
    <xf numFmtId="0" fontId="19" fillId="13" borderId="16" xfId="0" applyFont="1" applyFill="1" applyBorder="1" applyAlignment="1">
      <alignment horizontal="center" vertical="center" wrapText="1" readingOrder="1"/>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42" xfId="0" applyFont="1" applyFill="1" applyBorder="1" applyAlignment="1">
      <alignment horizontal="center" vertical="center" wrapText="1"/>
    </xf>
    <xf numFmtId="0" fontId="45" fillId="9" borderId="0" xfId="0" applyFont="1" applyFill="1" applyBorder="1" applyAlignment="1">
      <alignment horizontal="left" vertical="center" indent="1"/>
    </xf>
    <xf numFmtId="169" fontId="34" fillId="13" borderId="2"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45" fillId="9" borderId="49" xfId="0" applyFont="1" applyFill="1" applyBorder="1" applyAlignment="1">
      <alignment horizontal="center" vertical="center"/>
    </xf>
    <xf numFmtId="0" fontId="34" fillId="4" borderId="31"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49" xfId="0" applyFont="1" applyFill="1" applyBorder="1" applyAlignment="1">
      <alignment horizontal="center" vertical="center" wrapText="1"/>
    </xf>
    <xf numFmtId="0" fontId="58" fillId="9" borderId="42" xfId="0" applyFont="1" applyFill="1" applyBorder="1" applyAlignment="1">
      <alignment horizontal="center" vertical="center" wrapText="1"/>
    </xf>
    <xf numFmtId="0" fontId="45" fillId="9" borderId="59" xfId="0" applyFont="1" applyFill="1" applyBorder="1" applyAlignment="1">
      <alignment horizontal="center" vertical="center"/>
    </xf>
    <xf numFmtId="0" fontId="19" fillId="4" borderId="0" xfId="0" applyFont="1" applyFill="1" applyBorder="1" applyAlignment="1">
      <alignment horizontal="center" vertical="center"/>
    </xf>
    <xf numFmtId="0" fontId="45" fillId="9" borderId="49" xfId="0" applyFont="1" applyFill="1" applyBorder="1" applyAlignment="1">
      <alignment horizontal="left" vertical="center" indent="1"/>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45" fillId="15" borderId="42" xfId="0" applyFont="1" applyFill="1" applyBorder="1" applyAlignment="1">
      <alignment horizontal="center" vertical="center"/>
    </xf>
    <xf numFmtId="165" fontId="19" fillId="4" borderId="10"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6" fillId="9" borderId="43"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45" fillId="9" borderId="63" xfId="0" applyFont="1" applyFill="1" applyBorder="1" applyAlignment="1">
      <alignment horizontal="left" vertical="center" inden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64" fillId="4" borderId="5" xfId="0" applyFont="1" applyFill="1" applyBorder="1" applyAlignment="1">
      <alignment horizontal="left" vertical="center" indent="1"/>
    </xf>
    <xf numFmtId="169" fontId="47" fillId="4" borderId="118" xfId="0" applyNumberFormat="1" applyFont="1" applyFill="1" applyBorder="1" applyAlignment="1">
      <alignment horizontal="center" vertical="center"/>
    </xf>
    <xf numFmtId="169" fontId="47" fillId="4" borderId="119" xfId="0" applyNumberFormat="1" applyFont="1" applyFill="1" applyBorder="1" applyAlignment="1">
      <alignment horizontal="center" vertical="center"/>
    </xf>
    <xf numFmtId="169" fontId="47" fillId="4" borderId="120" xfId="0" applyNumberFormat="1" applyFont="1" applyFill="1" applyBorder="1" applyAlignment="1">
      <alignment horizontal="center" vertical="center"/>
    </xf>
    <xf numFmtId="169" fontId="47" fillId="13" borderId="121" xfId="0" applyNumberFormat="1" applyFont="1" applyFill="1" applyBorder="1" applyAlignment="1">
      <alignment horizontal="center" vertical="center"/>
    </xf>
    <xf numFmtId="0" fontId="47" fillId="4" borderId="0" xfId="0" applyFont="1" applyFill="1" applyAlignment="1">
      <alignment vertical="center"/>
    </xf>
    <xf numFmtId="0" fontId="65" fillId="4" borderId="0" xfId="0" applyFont="1" applyFill="1" applyBorder="1" applyAlignment="1">
      <alignment horizontal="left" vertical="center" wrapText="1" indent="1"/>
    </xf>
    <xf numFmtId="9" fontId="47" fillId="4" borderId="0" xfId="0" applyNumberFormat="1" applyFont="1" applyFill="1" applyBorder="1" applyAlignment="1">
      <alignment vertical="center"/>
    </xf>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95" xfId="0" applyFont="1" applyFill="1" applyBorder="1" applyAlignment="1">
      <alignment horizontal="center" vertical="center"/>
    </xf>
    <xf numFmtId="0" fontId="7" fillId="4" borderId="0" xfId="0" applyFont="1" applyFill="1" applyBorder="1" applyAlignment="1">
      <alignment horizontal="center" vertical="center"/>
    </xf>
    <xf numFmtId="169" fontId="19" fillId="4" borderId="7" xfId="0" applyNumberFormat="1" applyFont="1" applyFill="1" applyBorder="1" applyAlignment="1">
      <alignment horizontal="center" vertical="center"/>
    </xf>
    <xf numFmtId="0" fontId="45" fillId="9" borderId="96" xfId="0" applyFont="1" applyFill="1" applyBorder="1" applyAlignment="1">
      <alignment vertical="center"/>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9" fontId="19" fillId="4" borderId="126" xfId="0" applyNumberFormat="1" applyFont="1" applyFill="1" applyBorder="1" applyAlignment="1">
      <alignment horizontal="center" vertical="center"/>
    </xf>
    <xf numFmtId="0" fontId="34" fillId="16" borderId="123" xfId="0" applyFont="1" applyFill="1" applyBorder="1" applyAlignment="1">
      <alignment horizontal="center" textRotation="90"/>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5"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43"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42" xfId="0" applyFont="1" applyFill="1" applyBorder="1" applyAlignment="1">
      <alignment horizontal="center" vertical="center" wrapText="1" readingOrder="1"/>
    </xf>
    <xf numFmtId="0" fontId="34" fillId="4" borderId="47" xfId="0" applyFont="1" applyFill="1" applyBorder="1" applyAlignment="1">
      <alignment horizontal="left" vertical="center" wrapText="1" indent="1"/>
    </xf>
    <xf numFmtId="0" fontId="34" fillId="4" borderId="48"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42"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34" fillId="19" borderId="1" xfId="0" applyFont="1" applyFill="1" applyBorder="1" applyAlignment="1">
      <alignment horizontal="center" vertical="center" textRotation="90"/>
    </xf>
    <xf numFmtId="0" fontId="34" fillId="19" borderId="82" xfId="0" applyFont="1" applyFill="1" applyBorder="1" applyAlignment="1">
      <alignment horizontal="center" vertical="center" textRotation="90"/>
    </xf>
    <xf numFmtId="0" fontId="61" fillId="0" borderId="6"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84" xfId="0" applyFont="1" applyFill="1" applyBorder="1" applyAlignment="1">
      <alignment horizontal="left" vertical="center" wrapText="1" indent="1"/>
    </xf>
    <xf numFmtId="0" fontId="19" fillId="4" borderId="85" xfId="0" applyFont="1" applyFill="1" applyBorder="1" applyAlignment="1">
      <alignment horizontal="left" vertical="center" wrapText="1" indent="1"/>
    </xf>
    <xf numFmtId="0" fontId="19" fillId="4" borderId="86"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1" borderId="87" xfId="0" applyFont="1" applyFill="1" applyBorder="1" applyAlignment="1">
      <alignment horizontal="center" vertical="center" textRotation="90"/>
    </xf>
    <xf numFmtId="0" fontId="34" fillId="21" borderId="1" xfId="0" applyFont="1" applyFill="1" applyBorder="1" applyAlignment="1">
      <alignment horizontal="center" vertical="center" textRotation="90"/>
    </xf>
    <xf numFmtId="0" fontId="34" fillId="21" borderId="82" xfId="0" applyFont="1" applyFill="1" applyBorder="1" applyAlignment="1">
      <alignment horizontal="center" vertical="center" textRotation="90"/>
    </xf>
    <xf numFmtId="0" fontId="34" fillId="5" borderId="87" xfId="0" applyFont="1" applyFill="1" applyBorder="1" applyAlignment="1">
      <alignment horizontal="center" vertical="center" textRotation="90"/>
    </xf>
    <xf numFmtId="0" fontId="34" fillId="5" borderId="1" xfId="0" applyFont="1" applyFill="1" applyBorder="1" applyAlignment="1">
      <alignment horizontal="center" vertical="center" textRotation="90"/>
    </xf>
    <xf numFmtId="0" fontId="19" fillId="4" borderId="84" xfId="0" applyFont="1" applyFill="1" applyBorder="1" applyAlignment="1">
      <alignment horizontal="left" vertical="center" indent="1"/>
    </xf>
    <xf numFmtId="0" fontId="19" fillId="4" borderId="85" xfId="0" applyFont="1" applyFill="1" applyBorder="1" applyAlignment="1">
      <alignment horizontal="left" vertical="center" indent="1"/>
    </xf>
    <xf numFmtId="0" fontId="19" fillId="4" borderId="86"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6" xfId="0" applyFont="1" applyFill="1" applyBorder="1" applyAlignment="1">
      <alignment horizontal="left" vertical="center" indent="1"/>
    </xf>
    <xf numFmtId="0" fontId="34" fillId="4" borderId="36" xfId="0" applyFont="1" applyFill="1" applyBorder="1" applyAlignment="1">
      <alignment horizontal="left" vertical="center" indent="1"/>
    </xf>
    <xf numFmtId="0" fontId="34" fillId="4" borderId="27"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33"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20" borderId="87" xfId="0" applyFont="1" applyFill="1" applyBorder="1" applyAlignment="1">
      <alignment horizontal="center" vertical="center" textRotation="90" wrapText="1"/>
    </xf>
    <xf numFmtId="0" fontId="34" fillId="20" borderId="1" xfId="0" applyFont="1" applyFill="1" applyBorder="1" applyAlignment="1">
      <alignment horizontal="center" vertical="center" textRotation="90" wrapText="1"/>
    </xf>
    <xf numFmtId="0" fontId="34" fillId="20" borderId="82" xfId="0" applyFont="1" applyFill="1" applyBorder="1" applyAlignment="1">
      <alignment horizontal="center" vertical="center" textRotation="90" wrapText="1"/>
    </xf>
    <xf numFmtId="0" fontId="45" fillId="22"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33"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48" fillId="7" borderId="34" xfId="0" applyNumberFormat="1" applyFont="1" applyFill="1" applyBorder="1" applyAlignment="1">
      <alignment horizontal="center" vertical="center" wrapText="1"/>
    </xf>
    <xf numFmtId="0" fontId="48" fillId="7" borderId="31" xfId="0" applyNumberFormat="1" applyFont="1" applyFill="1" applyBorder="1" applyAlignment="1">
      <alignment horizontal="center" vertical="center" wrapText="1"/>
    </xf>
    <xf numFmtId="0" fontId="48" fillId="7" borderId="25" xfId="0" applyNumberFormat="1" applyFont="1" applyFill="1" applyBorder="1" applyAlignment="1">
      <alignment horizontal="center" vertical="center" wrapTex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7"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169" fontId="34" fillId="4" borderId="26"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22" borderId="88" xfId="0" applyFont="1" applyFill="1" applyBorder="1" applyAlignment="1">
      <alignment horizontal="center" vertical="center"/>
    </xf>
    <xf numFmtId="169" fontId="47" fillId="0" borderId="22" xfId="0" applyNumberFormat="1" applyFont="1" applyBorder="1" applyAlignment="1">
      <alignment horizontal="center"/>
    </xf>
    <xf numFmtId="169" fontId="47" fillId="0" borderId="13" xfId="0" applyNumberFormat="1" applyFont="1" applyBorder="1" applyAlignment="1">
      <alignment horizontal="center"/>
    </xf>
    <xf numFmtId="0" fontId="45" fillId="23" borderId="89" xfId="0" applyFont="1" applyFill="1" applyBorder="1" applyAlignment="1">
      <alignment horizontal="center" vertical="center"/>
    </xf>
    <xf numFmtId="0" fontId="45" fillId="23" borderId="90" xfId="0" applyFont="1" applyFill="1" applyBorder="1" applyAlignment="1">
      <alignment horizontal="center" vertical="center"/>
    </xf>
    <xf numFmtId="0" fontId="45" fillId="23" borderId="0" xfId="0" applyFont="1" applyFill="1" applyBorder="1" applyAlignment="1">
      <alignment horizontal="center" vertical="center"/>
    </xf>
    <xf numFmtId="0" fontId="45" fillId="23" borderId="91" xfId="0" applyFont="1" applyFill="1" applyBorder="1" applyAlignment="1">
      <alignment horizontal="center" vertical="center"/>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33" xfId="0" applyFont="1" applyFill="1" applyBorder="1" applyAlignment="1">
      <alignment horizontal="left" vertical="center" indent="1"/>
    </xf>
    <xf numFmtId="0" fontId="19" fillId="4" borderId="12" xfId="0" applyFont="1" applyFill="1" applyBorder="1" applyAlignment="1">
      <alignment horizontal="left" vertical="center" indent="1"/>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34" fillId="4" borderId="83" xfId="0" applyFont="1" applyFill="1" applyBorder="1" applyAlignment="1">
      <alignment horizontal="left" vertical="center" wrapText="1" indent="1"/>
    </xf>
    <xf numFmtId="0" fontId="45" fillId="9" borderId="0" xfId="0" applyFont="1" applyFill="1" applyBorder="1" applyAlignment="1">
      <alignment horizontal="center" vertical="center"/>
    </xf>
    <xf numFmtId="0" fontId="45" fillId="9" borderId="43" xfId="0" applyFont="1" applyFill="1" applyBorder="1" applyAlignment="1">
      <alignment horizontal="center" vertical="center"/>
    </xf>
    <xf numFmtId="169" fontId="34" fillId="13" borderId="27"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6" xfId="0" applyFont="1" applyFill="1" applyBorder="1" applyAlignment="1">
      <alignment horizontal="left" vertical="center" wrapText="1" indent="1"/>
    </xf>
    <xf numFmtId="0" fontId="34" fillId="4" borderId="36"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45" fillId="9" borderId="42" xfId="0" applyFont="1" applyFill="1" applyBorder="1" applyAlignment="1">
      <alignment horizontal="center" vertical="center"/>
    </xf>
    <xf numFmtId="0" fontId="52" fillId="17" borderId="31" xfId="0" applyFont="1" applyFill="1" applyBorder="1" applyAlignment="1">
      <alignment horizontal="center" vertical="center"/>
    </xf>
    <xf numFmtId="0" fontId="47" fillId="4" borderId="38"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39"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33" xfId="0" applyFont="1" applyFill="1" applyBorder="1" applyAlignment="1">
      <alignment horizontal="left" vertical="center" indent="1"/>
    </xf>
    <xf numFmtId="0" fontId="47" fillId="4" borderId="12" xfId="0" applyFont="1" applyFill="1" applyBorder="1" applyAlignment="1">
      <alignment horizontal="left" vertical="center" indent="1"/>
    </xf>
    <xf numFmtId="0" fontId="47" fillId="4" borderId="26" xfId="0" applyFont="1" applyFill="1" applyBorder="1" applyAlignment="1">
      <alignment horizontal="left" vertical="center" indent="1"/>
    </xf>
    <xf numFmtId="0" fontId="47" fillId="4" borderId="36" xfId="0" applyFont="1" applyFill="1" applyBorder="1" applyAlignment="1">
      <alignment horizontal="left" vertical="center" indent="1"/>
    </xf>
    <xf numFmtId="0" fontId="47" fillId="4" borderId="27" xfId="0" applyFont="1" applyFill="1" applyBorder="1" applyAlignment="1">
      <alignment horizontal="left" vertical="center" indent="1"/>
    </xf>
    <xf numFmtId="0" fontId="34" fillId="4" borderId="47" xfId="0" applyFont="1" applyFill="1" applyBorder="1" applyAlignment="1">
      <alignment horizontal="left" vertical="center" indent="1"/>
    </xf>
    <xf numFmtId="0" fontId="34" fillId="4" borderId="83" xfId="0" applyFont="1" applyFill="1" applyBorder="1" applyAlignment="1">
      <alignment horizontal="left" vertical="center" indent="1"/>
    </xf>
    <xf numFmtId="0" fontId="34" fillId="4" borderId="48" xfId="0" applyFont="1" applyFill="1" applyBorder="1" applyAlignment="1">
      <alignment horizontal="left" vertical="center" indent="1"/>
    </xf>
    <xf numFmtId="0" fontId="52" fillId="9" borderId="0" xfId="0" applyFont="1" applyFill="1" applyAlignment="1">
      <alignment horizontal="center" vertical="center"/>
    </xf>
    <xf numFmtId="169" fontId="47" fillId="4" borderId="6" xfId="0" applyNumberFormat="1" applyFont="1" applyFill="1" applyBorder="1" applyAlignment="1">
      <alignment horizontal="center" vertical="center"/>
    </xf>
    <xf numFmtId="169" fontId="47" fillId="4" borderId="21"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35"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33"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52" fillId="9" borderId="96" xfId="0" applyFont="1" applyFill="1" applyBorder="1" applyAlignment="1">
      <alignment horizontal="center" vertical="center"/>
    </xf>
    <xf numFmtId="0" fontId="52" fillId="9" borderId="42" xfId="0" applyFont="1" applyFill="1" applyBorder="1" applyAlignment="1">
      <alignment horizontal="center" vertical="center"/>
    </xf>
    <xf numFmtId="0" fontId="52" fillId="9" borderId="96" xfId="0" applyFont="1" applyFill="1" applyBorder="1" applyAlignment="1">
      <alignment horizontal="center" wrapText="1"/>
    </xf>
    <xf numFmtId="0" fontId="52" fillId="9" borderId="42" xfId="0" applyFont="1" applyFill="1" applyBorder="1" applyAlignment="1">
      <alignment horizontal="center" wrapText="1"/>
    </xf>
    <xf numFmtId="0" fontId="52" fillId="9" borderId="0" xfId="0" applyFont="1" applyFill="1" applyBorder="1" applyAlignment="1">
      <alignment horizontal="center" vertical="center"/>
    </xf>
    <xf numFmtId="169" fontId="47" fillId="4" borderId="3" xfId="0" applyNumberFormat="1" applyFont="1" applyFill="1" applyBorder="1" applyAlignment="1">
      <alignment horizontal="right" vertical="center" indent="1"/>
    </xf>
    <xf numFmtId="169" fontId="47" fillId="4" borderId="0" xfId="0" applyNumberFormat="1" applyFont="1" applyFill="1" applyBorder="1" applyAlignment="1">
      <alignment horizontal="right" vertical="center" indent="1"/>
    </xf>
    <xf numFmtId="169" fontId="47" fillId="4" borderId="1" xfId="0" applyNumberFormat="1" applyFont="1" applyFill="1" applyBorder="1" applyAlignment="1">
      <alignment horizontal="right" vertical="center" indent="1"/>
    </xf>
    <xf numFmtId="169" fontId="47" fillId="4" borderId="17" xfId="0" applyNumberFormat="1" applyFont="1" applyFill="1" applyBorder="1" applyAlignment="1">
      <alignment horizontal="right" vertical="center" indent="1"/>
    </xf>
    <xf numFmtId="169" fontId="47" fillId="4" borderId="33" xfId="0" applyNumberFormat="1" applyFont="1" applyFill="1" applyBorder="1" applyAlignment="1">
      <alignment horizontal="right" vertical="center" indent="1"/>
    </xf>
    <xf numFmtId="169" fontId="47" fillId="4" borderId="12" xfId="0" applyNumberFormat="1" applyFont="1" applyFill="1" applyBorder="1" applyAlignment="1">
      <alignment horizontal="right" vertical="center" indent="1"/>
    </xf>
    <xf numFmtId="0" fontId="52" fillId="18" borderId="122" xfId="0" applyFont="1" applyFill="1" applyBorder="1" applyAlignment="1">
      <alignment horizontal="center" vertical="center"/>
    </xf>
    <xf numFmtId="0" fontId="52" fillId="18" borderId="87" xfId="0" applyFont="1" applyFill="1" applyBorder="1" applyAlignment="1">
      <alignment horizontal="center" vertical="center"/>
    </xf>
    <xf numFmtId="0" fontId="52" fillId="18" borderId="3" xfId="0" applyFont="1" applyFill="1" applyBorder="1" applyAlignment="1">
      <alignment horizontal="center" vertical="center"/>
    </xf>
    <xf numFmtId="0" fontId="52" fillId="18" borderId="1" xfId="0" applyFont="1" applyFill="1" applyBorder="1" applyAlignment="1">
      <alignment horizontal="center" vertical="center"/>
    </xf>
    <xf numFmtId="0" fontId="52" fillId="9" borderId="63" xfId="0" applyFont="1" applyFill="1" applyBorder="1" applyAlignment="1">
      <alignment horizontal="center" vertical="center"/>
    </xf>
    <xf numFmtId="0" fontId="52" fillId="9" borderId="59" xfId="0" applyFont="1" applyFill="1" applyBorder="1" applyAlignment="1">
      <alignment horizontal="center" vertical="center"/>
    </xf>
    <xf numFmtId="169" fontId="47" fillId="4" borderId="6" xfId="0" applyNumberFormat="1" applyFont="1" applyFill="1" applyBorder="1" applyAlignment="1">
      <alignment horizontal="right" vertical="center" indent="1"/>
    </xf>
    <xf numFmtId="169" fontId="47" fillId="4" borderId="7" xfId="0" applyNumberFormat="1" applyFont="1" applyFill="1" applyBorder="1" applyAlignment="1">
      <alignment horizontal="right" vertical="center" indent="1"/>
    </xf>
    <xf numFmtId="0" fontId="47" fillId="4" borderId="3" xfId="0" applyFont="1" applyFill="1" applyBorder="1" applyAlignment="1">
      <alignment horizontal="center" vertical="center"/>
    </xf>
    <xf numFmtId="0" fontId="47" fillId="4" borderId="1" xfId="0" applyFont="1" applyFill="1" applyBorder="1" applyAlignment="1">
      <alignment horizontal="center" vertical="center"/>
    </xf>
    <xf numFmtId="0" fontId="47" fillId="4" borderId="17"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6" xfId="0" applyFont="1" applyFill="1" applyBorder="1" applyAlignment="1">
      <alignment horizontal="center" vertical="center"/>
    </xf>
    <xf numFmtId="0" fontId="47" fillId="4" borderId="7" xfId="0" applyFont="1" applyFill="1" applyBorder="1" applyAlignment="1">
      <alignment horizontal="center" vertical="center"/>
    </xf>
    <xf numFmtId="169" fontId="47" fillId="4" borderId="22" xfId="0" applyNumberFormat="1" applyFont="1" applyFill="1" applyBorder="1" applyAlignment="1">
      <alignment horizontal="right" vertical="center" indent="1"/>
    </xf>
    <xf numFmtId="169" fontId="47" fillId="4" borderId="13" xfId="0" applyNumberFormat="1" applyFont="1" applyFill="1" applyBorder="1" applyAlignment="1">
      <alignment horizontal="right" vertical="center" indent="1"/>
    </xf>
    <xf numFmtId="0" fontId="65" fillId="4" borderId="6" xfId="0" applyFont="1" applyFill="1" applyBorder="1" applyAlignment="1">
      <alignment horizontal="left" vertical="center" wrapText="1" indent="1"/>
    </xf>
    <xf numFmtId="0" fontId="65" fillId="4" borderId="7" xfId="0" applyFont="1" applyFill="1" applyBorder="1" applyAlignment="1">
      <alignment horizontal="left" vertical="center" wrapText="1" indent="1"/>
    </xf>
    <xf numFmtId="0" fontId="65" fillId="4" borderId="22" xfId="0" applyFont="1" applyFill="1" applyBorder="1" applyAlignment="1">
      <alignment horizontal="left" vertical="center" wrapText="1" indent="1"/>
    </xf>
    <xf numFmtId="0" fontId="65" fillId="4" borderId="13" xfId="0" applyFont="1" applyFill="1" applyBorder="1" applyAlignment="1">
      <alignment horizontal="left" vertical="center" wrapText="1" indent="1"/>
    </xf>
    <xf numFmtId="0" fontId="65" fillId="4" borderId="17" xfId="0" applyFont="1" applyFill="1" applyBorder="1" applyAlignment="1">
      <alignment horizontal="left" vertical="center" indent="1"/>
    </xf>
    <xf numFmtId="0" fontId="65" fillId="4" borderId="12" xfId="0" applyFont="1" applyFill="1" applyBorder="1" applyAlignment="1">
      <alignment horizontal="left" vertical="center" indent="1"/>
    </xf>
    <xf numFmtId="0" fontId="65" fillId="4" borderId="6" xfId="0" applyFont="1" applyFill="1" applyBorder="1" applyAlignment="1">
      <alignment horizontal="left" vertical="center" indent="1"/>
    </xf>
    <xf numFmtId="0" fontId="65" fillId="4" borderId="7" xfId="0" applyFont="1" applyFill="1" applyBorder="1" applyAlignment="1">
      <alignment horizontal="left" vertical="center" indent="1"/>
    </xf>
    <xf numFmtId="0" fontId="47" fillId="4" borderId="22" xfId="0" applyFont="1" applyFill="1" applyBorder="1" applyAlignment="1">
      <alignment horizontal="center" vertical="center"/>
    </xf>
    <xf numFmtId="0" fontId="47" fillId="4" borderId="13" xfId="0" applyFont="1" applyFill="1" applyBorder="1" applyAlignment="1">
      <alignment horizontal="center" vertical="center"/>
    </xf>
    <xf numFmtId="0" fontId="64" fillId="4" borderId="26" xfId="0" applyFont="1" applyFill="1" applyBorder="1" applyAlignment="1">
      <alignment horizontal="left" vertical="center" indent="1"/>
    </xf>
    <xf numFmtId="0" fontId="64" fillId="4" borderId="27" xfId="0" applyFont="1" applyFill="1" applyBorder="1" applyAlignment="1">
      <alignment horizontal="left" vertical="center" indent="1"/>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0" fontId="47" fillId="4" borderId="26" xfId="0" applyFont="1" applyFill="1" applyBorder="1" applyAlignment="1">
      <alignment horizontal="center" vertical="center"/>
    </xf>
    <xf numFmtId="0" fontId="47" fillId="4" borderId="27" xfId="0" applyFont="1" applyFill="1" applyBorder="1" applyAlignment="1">
      <alignment horizontal="center" vertical="center"/>
    </xf>
    <xf numFmtId="0" fontId="47" fillId="4" borderId="18" xfId="0" applyFont="1" applyFill="1" applyBorder="1" applyAlignment="1">
      <alignment horizontal="center" vertical="center"/>
    </xf>
    <xf numFmtId="0" fontId="47" fillId="4" borderId="11" xfId="0" applyFont="1" applyFill="1" applyBorder="1" applyAlignment="1">
      <alignment horizontal="center" vertical="center"/>
    </xf>
    <xf numFmtId="0" fontId="64" fillId="4" borderId="3" xfId="0" applyFont="1" applyFill="1" applyBorder="1" applyAlignment="1">
      <alignment horizontal="left" vertical="center" indent="1"/>
    </xf>
    <xf numFmtId="0" fontId="64" fillId="4" borderId="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5" xfId="0" applyFont="1" applyFill="1" applyBorder="1" applyAlignment="1">
      <alignment horizontal="left" vertical="center" indent="1"/>
    </xf>
    <xf numFmtId="0" fontId="47" fillId="4" borderId="13" xfId="0" applyFont="1" applyFill="1" applyBorder="1" applyAlignment="1">
      <alignment horizontal="left" vertical="center" indent="1"/>
    </xf>
    <xf numFmtId="0" fontId="64" fillId="4" borderId="38" xfId="0" applyFont="1" applyFill="1" applyBorder="1" applyAlignment="1">
      <alignment horizontal="left" vertical="center" indent="1"/>
    </xf>
    <xf numFmtId="0" fontId="64" fillId="4" borderId="39" xfId="0" applyFont="1" applyFill="1" applyBorder="1" applyAlignment="1">
      <alignment horizontal="left" vertical="center" indent="1"/>
    </xf>
    <xf numFmtId="169" fontId="47" fillId="4" borderId="21" xfId="0" applyNumberFormat="1" applyFont="1" applyFill="1" applyBorder="1" applyAlignment="1">
      <alignment horizontal="right" vertical="center" indent="1"/>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6" xfId="0" applyFont="1" applyFill="1" applyBorder="1" applyAlignment="1">
      <alignment horizontal="left" vertical="center" indent="1"/>
    </xf>
    <xf numFmtId="0" fontId="64" fillId="4" borderId="7" xfId="0" applyFont="1" applyFill="1" applyBorder="1" applyAlignment="1">
      <alignment horizontal="left" vertical="center" indent="1"/>
    </xf>
    <xf numFmtId="0" fontId="65" fillId="4" borderId="22" xfId="0" applyFont="1" applyFill="1" applyBorder="1" applyAlignment="1">
      <alignment horizontal="left" vertical="center" indent="1"/>
    </xf>
    <xf numFmtId="0" fontId="65" fillId="4" borderId="13" xfId="0" applyFont="1" applyFill="1" applyBorder="1" applyAlignment="1">
      <alignment horizontal="left" vertical="center" indent="1"/>
    </xf>
    <xf numFmtId="0" fontId="65" fillId="4" borderId="17" xfId="0" applyFont="1" applyFill="1" applyBorder="1" applyAlignment="1">
      <alignment horizontal="left" vertical="center" wrapText="1" indent="1"/>
    </xf>
    <xf numFmtId="0" fontId="65" fillId="4" borderId="12" xfId="0" applyFont="1" applyFill="1" applyBorder="1" applyAlignment="1">
      <alignment horizontal="left" vertical="center" wrapText="1" indent="1"/>
    </xf>
    <xf numFmtId="169" fontId="47" fillId="4" borderId="26" xfId="0" applyNumberFormat="1" applyFont="1" applyFill="1" applyBorder="1" applyAlignment="1">
      <alignment horizontal="right" vertical="center" indent="1"/>
    </xf>
    <xf numFmtId="169" fontId="47" fillId="4" borderId="36" xfId="0" applyNumberFormat="1" applyFont="1" applyFill="1" applyBorder="1" applyAlignment="1">
      <alignment horizontal="right" vertical="center" indent="1"/>
    </xf>
    <xf numFmtId="169" fontId="47" fillId="4" borderId="27" xfId="0" applyNumberFormat="1" applyFont="1" applyFill="1" applyBorder="1" applyAlignment="1">
      <alignment horizontal="right" vertical="center" indent="1"/>
    </xf>
    <xf numFmtId="169" fontId="47" fillId="4" borderId="18" xfId="0" applyNumberFormat="1" applyFont="1" applyFill="1" applyBorder="1" applyAlignment="1">
      <alignment horizontal="right" vertical="center" indent="1"/>
    </xf>
    <xf numFmtId="169" fontId="47" fillId="4" borderId="2" xfId="0" applyNumberFormat="1" applyFont="1" applyFill="1" applyBorder="1" applyAlignment="1">
      <alignment horizontal="right" vertical="center" indent="1"/>
    </xf>
    <xf numFmtId="169" fontId="47" fillId="4" borderId="11" xfId="0" applyNumberFormat="1" applyFont="1" applyFill="1" applyBorder="1" applyAlignment="1">
      <alignment horizontal="right" vertical="center" indent="1"/>
    </xf>
    <xf numFmtId="0" fontId="47" fillId="4" borderId="38" xfId="0" applyFont="1" applyFill="1" applyBorder="1" applyAlignment="1">
      <alignment horizontal="center" vertical="center"/>
    </xf>
    <xf numFmtId="0" fontId="47" fillId="4" borderId="39" xfId="0" applyFont="1" applyFill="1" applyBorder="1" applyAlignment="1">
      <alignment horizontal="center" vertical="center"/>
    </xf>
    <xf numFmtId="169" fontId="47" fillId="4" borderId="38" xfId="0" applyNumberFormat="1" applyFont="1" applyFill="1" applyBorder="1" applyAlignment="1">
      <alignment horizontal="right" vertical="center" indent="1"/>
    </xf>
    <xf numFmtId="169" fontId="47" fillId="4" borderId="29" xfId="0" applyNumberFormat="1" applyFont="1" applyFill="1" applyBorder="1" applyAlignment="1">
      <alignment horizontal="right" vertical="center" indent="1"/>
    </xf>
    <xf numFmtId="169" fontId="47" fillId="4" borderId="39" xfId="0" applyNumberFormat="1" applyFont="1" applyFill="1" applyBorder="1" applyAlignment="1">
      <alignment horizontal="right" vertical="center" indent="1"/>
    </xf>
    <xf numFmtId="0" fontId="34" fillId="24" borderId="1" xfId="0" applyFont="1" applyFill="1" applyBorder="1" applyAlignment="1">
      <alignment horizontal="center" vertical="center" textRotation="90"/>
    </xf>
    <xf numFmtId="0" fontId="34" fillId="24" borderId="92" xfId="0" applyFont="1" applyFill="1" applyBorder="1" applyAlignment="1">
      <alignment horizontal="center" vertical="center" textRotation="90"/>
    </xf>
    <xf numFmtId="169" fontId="34" fillId="4" borderId="6" xfId="8" applyNumberFormat="1" applyFont="1" applyFill="1" applyBorder="1" applyAlignment="1">
      <alignment horizontal="center"/>
    </xf>
    <xf numFmtId="169" fontId="34" fillId="4" borderId="7" xfId="8" applyNumberFormat="1" applyFont="1" applyFill="1" applyBorder="1" applyAlignment="1">
      <alignment horizontal="center"/>
    </xf>
    <xf numFmtId="169" fontId="34" fillId="4" borderId="19" xfId="0" applyNumberFormat="1" applyFont="1" applyFill="1" applyBorder="1" applyAlignment="1">
      <alignment horizontal="center" vertical="center"/>
    </xf>
    <xf numFmtId="169" fontId="34" fillId="4" borderId="32" xfId="0" applyNumberFormat="1" applyFont="1" applyFill="1" applyBorder="1" applyAlignment="1">
      <alignment horizontal="center" vertical="center"/>
    </xf>
    <xf numFmtId="0" fontId="34" fillId="4" borderId="6" xfId="11" applyFont="1" applyFill="1" applyBorder="1" applyAlignment="1">
      <alignment horizontal="left" indent="1"/>
    </xf>
    <xf numFmtId="0" fontId="34" fillId="4" borderId="7" xfId="11" applyFont="1" applyFill="1" applyBorder="1" applyAlignment="1">
      <alignment horizontal="left" indent="1"/>
    </xf>
    <xf numFmtId="0" fontId="41" fillId="4" borderId="0" xfId="0" applyFont="1" applyFill="1" applyBorder="1" applyAlignment="1">
      <alignment horizontal="center" vertical="center" wrapText="1"/>
    </xf>
    <xf numFmtId="0" fontId="19" fillId="13" borderId="16" xfId="0" applyFont="1" applyFill="1" applyBorder="1" applyAlignment="1">
      <alignment horizontal="center" vertical="center" wrapText="1" readingOrder="1"/>
    </xf>
    <xf numFmtId="0" fontId="34" fillId="4" borderId="20" xfId="0" applyFont="1" applyFill="1" applyBorder="1" applyAlignment="1">
      <alignment horizontal="center" vertical="center"/>
    </xf>
    <xf numFmtId="0" fontId="34" fillId="4" borderId="16" xfId="0" applyFont="1" applyFill="1" applyBorder="1" applyAlignment="1">
      <alignment horizontal="center" vertical="center"/>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169" fontId="34" fillId="4" borderId="17" xfId="8" applyNumberFormat="1" applyFont="1" applyFill="1" applyBorder="1" applyAlignment="1">
      <alignment horizontal="center"/>
    </xf>
    <xf numFmtId="169" fontId="34" fillId="4" borderId="12" xfId="8" applyNumberFormat="1" applyFont="1" applyFill="1" applyBorder="1" applyAlignment="1">
      <alignment horizontal="center"/>
    </xf>
    <xf numFmtId="0" fontId="45" fillId="9" borderId="0" xfId="0" applyFont="1" applyFill="1" applyBorder="1" applyAlignment="1">
      <alignment horizontal="center" vertical="center" wrapText="1"/>
    </xf>
    <xf numFmtId="165" fontId="34" fillId="4" borderId="38" xfId="0" applyNumberFormat="1" applyFont="1" applyFill="1" applyBorder="1" applyAlignment="1">
      <alignment horizontal="center" vertical="center"/>
    </xf>
    <xf numFmtId="165" fontId="34" fillId="4" borderId="39" xfId="0" applyNumberFormat="1" applyFont="1" applyFill="1" applyBorder="1" applyAlignment="1">
      <alignment horizontal="center" vertical="center"/>
    </xf>
    <xf numFmtId="165" fontId="34" fillId="4" borderId="3" xfId="0" applyNumberFormat="1" applyFont="1" applyFill="1" applyBorder="1" applyAlignment="1">
      <alignment horizontal="center" vertical="center"/>
    </xf>
    <xf numFmtId="165" fontId="34" fillId="4" borderId="1" xfId="0" applyNumberFormat="1" applyFont="1" applyFill="1" applyBorder="1" applyAlignment="1">
      <alignment horizontal="center" vertical="center"/>
    </xf>
    <xf numFmtId="165" fontId="34" fillId="4" borderId="18" xfId="0" applyNumberFormat="1" applyFont="1" applyFill="1" applyBorder="1" applyAlignment="1">
      <alignment horizontal="center" vertical="center"/>
    </xf>
    <xf numFmtId="165" fontId="34" fillId="4" borderId="11" xfId="0" applyNumberFormat="1" applyFont="1" applyFill="1" applyBorder="1" applyAlignment="1">
      <alignment horizontal="center" vertical="center"/>
    </xf>
    <xf numFmtId="0" fontId="45" fillId="9" borderId="42" xfId="0" applyFont="1" applyFill="1" applyBorder="1" applyAlignment="1">
      <alignment horizontal="center" vertical="center" wrapText="1"/>
    </xf>
    <xf numFmtId="0" fontId="34" fillId="4" borderId="20" xfId="0" applyFont="1" applyFill="1" applyBorder="1" applyAlignment="1">
      <alignment horizontal="left" vertical="center" indent="1"/>
    </xf>
    <xf numFmtId="0" fontId="34" fillId="4" borderId="16"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22" xfId="11" applyFont="1" applyFill="1" applyBorder="1" applyAlignment="1">
      <alignment horizontal="left" indent="1"/>
    </xf>
    <xf numFmtId="0" fontId="34" fillId="4" borderId="13" xfId="11" applyFont="1" applyFill="1" applyBorder="1" applyAlignment="1">
      <alignment horizontal="left" indent="1"/>
    </xf>
    <xf numFmtId="0" fontId="19" fillId="13" borderId="16" xfId="0" applyFont="1" applyFill="1" applyBorder="1" applyAlignment="1">
      <alignment horizontal="left" vertical="center" wrapText="1" indent="1" readingOrder="1"/>
    </xf>
    <xf numFmtId="0" fontId="19" fillId="13" borderId="10" xfId="0" applyFont="1" applyFill="1" applyBorder="1" applyAlignment="1">
      <alignment horizontal="left" vertical="center" wrapText="1" indent="1" readingOrder="1"/>
    </xf>
    <xf numFmtId="0" fontId="34" fillId="4" borderId="6" xfId="0" applyFont="1" applyFill="1" applyBorder="1" applyAlignment="1">
      <alignment horizontal="left" vertical="center" indent="1" readingOrder="1"/>
    </xf>
    <xf numFmtId="0" fontId="34" fillId="4" borderId="7" xfId="0" applyFont="1" applyFill="1" applyBorder="1" applyAlignment="1">
      <alignment horizontal="left" vertical="center" indent="1" readingOrder="1"/>
    </xf>
    <xf numFmtId="0" fontId="34" fillId="4" borderId="22" xfId="0" applyFont="1" applyFill="1" applyBorder="1" applyAlignment="1">
      <alignment horizontal="left" vertical="center" indent="1" readingOrder="1"/>
    </xf>
    <xf numFmtId="0" fontId="34" fillId="4" borderId="13" xfId="0" applyFont="1" applyFill="1" applyBorder="1" applyAlignment="1">
      <alignment horizontal="left" vertical="center" indent="1" readingOrder="1"/>
    </xf>
    <xf numFmtId="0" fontId="34" fillId="4" borderId="19" xfId="0" applyFont="1" applyFill="1" applyBorder="1" applyAlignment="1">
      <alignment horizontal="left" vertical="center" indent="1" readingOrder="1"/>
    </xf>
    <xf numFmtId="0" fontId="34" fillId="4" borderId="32" xfId="0" applyFont="1" applyFill="1" applyBorder="1" applyAlignment="1">
      <alignment horizontal="left" vertical="center" indent="1" readingOrder="1"/>
    </xf>
    <xf numFmtId="169" fontId="34" fillId="4" borderId="22" xfId="8" applyNumberFormat="1" applyFont="1" applyFill="1" applyBorder="1" applyAlignment="1">
      <alignment horizontal="center"/>
    </xf>
    <xf numFmtId="169" fontId="34" fillId="4" borderId="13" xfId="8" applyNumberFormat="1" applyFont="1" applyFill="1" applyBorder="1" applyAlignment="1">
      <alignment horizontal="center"/>
    </xf>
    <xf numFmtId="0" fontId="34" fillId="16" borderId="1" xfId="0" applyFont="1" applyFill="1" applyBorder="1" applyAlignment="1">
      <alignment horizontal="center" vertical="center" textRotation="90"/>
    </xf>
    <xf numFmtId="0" fontId="19" fillId="13" borderId="17" xfId="0" applyFont="1" applyFill="1" applyBorder="1" applyAlignment="1">
      <alignment horizontal="left" vertical="center" wrapText="1" indent="1" readingOrder="1"/>
    </xf>
    <xf numFmtId="0" fontId="19" fillId="13" borderId="12" xfId="0" applyFont="1" applyFill="1" applyBorder="1" applyAlignment="1">
      <alignment horizontal="left" vertical="center" wrapText="1" indent="1" readingOrder="1"/>
    </xf>
    <xf numFmtId="0" fontId="19" fillId="13" borderId="6" xfId="0" applyFont="1" applyFill="1" applyBorder="1" applyAlignment="1">
      <alignment horizontal="left" vertical="center" wrapText="1" indent="1" readingOrder="1"/>
    </xf>
    <xf numFmtId="0" fontId="19" fillId="13" borderId="7" xfId="0" applyFont="1" applyFill="1" applyBorder="1" applyAlignment="1">
      <alignment horizontal="left" vertical="center" wrapText="1" indent="1" readingOrder="1"/>
    </xf>
    <xf numFmtId="0" fontId="52" fillId="9" borderId="0" xfId="11" applyFont="1" applyFill="1" applyBorder="1" applyAlignment="1">
      <alignment horizontal="left" wrapText="1" indent="1"/>
    </xf>
    <xf numFmtId="0" fontId="34" fillId="4" borderId="8" xfId="0" applyFont="1" applyFill="1" applyBorder="1" applyAlignment="1">
      <alignment horizontal="center" vertical="center"/>
    </xf>
    <xf numFmtId="169" fontId="34" fillId="4" borderId="34" xfId="0" applyNumberFormat="1" applyFont="1" applyFill="1" applyBorder="1" applyAlignment="1">
      <alignment horizontal="center" vertical="center"/>
    </xf>
    <xf numFmtId="169" fontId="34" fillId="4" borderId="25"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0" fontId="34" fillId="4" borderId="38"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16" xfId="0" applyFont="1" applyFill="1" applyBorder="1" applyAlignment="1">
      <alignment horizontal="left" vertical="center" wrapText="1"/>
    </xf>
    <xf numFmtId="0" fontId="34" fillId="4" borderId="10" xfId="0" applyFont="1" applyFill="1" applyBorder="1" applyAlignment="1">
      <alignment horizontal="left" vertical="center" wrapTex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indent="1"/>
    </xf>
    <xf numFmtId="0" fontId="34" fillId="4" borderId="12" xfId="11" applyFont="1" applyFill="1" applyBorder="1" applyAlignment="1">
      <alignment horizontal="left"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20" xfId="0" applyFont="1" applyFill="1" applyBorder="1" applyAlignment="1">
      <alignment horizontal="left" vertical="center" wrapText="1"/>
    </xf>
    <xf numFmtId="0" fontId="45" fillId="9" borderId="0" xfId="0" applyFont="1" applyFill="1" applyBorder="1" applyAlignment="1">
      <alignment horizontal="center"/>
    </xf>
    <xf numFmtId="0" fontId="45" fillId="9" borderId="0" xfId="0" applyFont="1" applyFill="1" applyBorder="1" applyAlignment="1">
      <alignment horizontal="left" vertical="center" indent="1"/>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34" fillId="4" borderId="3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34"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48" fillId="7" borderId="20" xfId="0" applyNumberFormat="1" applyFont="1" applyFill="1" applyBorder="1" applyAlignment="1">
      <alignment horizontal="center" vertical="center" wrapText="1"/>
    </xf>
    <xf numFmtId="0" fontId="48" fillId="7" borderId="8" xfId="0" applyNumberFormat="1" applyFont="1" applyFill="1" applyBorder="1" applyAlignment="1">
      <alignment horizontal="center" vertical="center" wrapText="1"/>
    </xf>
    <xf numFmtId="0" fontId="47" fillId="4" borderId="0" xfId="0" applyFont="1" applyFill="1" applyBorder="1" applyAlignment="1">
      <alignment horizontal="left" vertical="center" wrapText="1"/>
    </xf>
    <xf numFmtId="0" fontId="34" fillId="4" borderId="18" xfId="0" applyFont="1" applyFill="1" applyBorder="1" applyAlignment="1">
      <alignment horizontal="center" vertical="center"/>
    </xf>
    <xf numFmtId="0" fontId="34" fillId="4" borderId="2" xfId="0" applyFont="1" applyFill="1" applyBorder="1" applyAlignment="1">
      <alignment horizontal="center" vertical="center"/>
    </xf>
    <xf numFmtId="3" fontId="16" fillId="12" borderId="19" xfId="0" applyNumberFormat="1" applyFont="1" applyFill="1" applyBorder="1" applyAlignment="1">
      <alignment horizontal="center" vertical="center"/>
    </xf>
    <xf numFmtId="3" fontId="16" fillId="12" borderId="32" xfId="0" applyNumberFormat="1" applyFont="1" applyFill="1" applyBorder="1" applyAlignment="1">
      <alignment horizontal="center" vertical="center"/>
    </xf>
    <xf numFmtId="169" fontId="23" fillId="4" borderId="21" xfId="0" applyNumberFormat="1" applyFont="1" applyFill="1" applyBorder="1" applyAlignment="1">
      <alignment horizontal="center" vertical="center"/>
    </xf>
    <xf numFmtId="169" fontId="23" fillId="4" borderId="7" xfId="0" applyNumberFormat="1" applyFont="1" applyFill="1" applyBorder="1" applyAlignment="1">
      <alignment horizontal="center" vertical="center"/>
    </xf>
    <xf numFmtId="169" fontId="23" fillId="4" borderId="35" xfId="0" applyNumberFormat="1" applyFont="1" applyFill="1" applyBorder="1" applyAlignment="1">
      <alignment horizontal="center" vertical="center"/>
    </xf>
    <xf numFmtId="169" fontId="23" fillId="4" borderId="13" xfId="0" applyNumberFormat="1" applyFont="1" applyFill="1" applyBorder="1" applyAlignment="1">
      <alignment horizontal="center" vertical="center"/>
    </xf>
    <xf numFmtId="6" fontId="45" fillId="9" borderId="42" xfId="0" applyNumberFormat="1" applyFont="1" applyFill="1" applyBorder="1" applyAlignment="1">
      <alignment horizontal="center" vertical="center"/>
    </xf>
    <xf numFmtId="0" fontId="19" fillId="4" borderId="2" xfId="0" applyFont="1" applyFill="1" applyBorder="1" applyAlignment="1">
      <alignment horizontal="center" vertical="center"/>
    </xf>
    <xf numFmtId="0" fontId="19" fillId="4" borderId="11" xfId="0" applyFont="1" applyFill="1" applyBorder="1" applyAlignment="1">
      <alignment horizontal="center" vertical="center"/>
    </xf>
    <xf numFmtId="170" fontId="19" fillId="4" borderId="18" xfId="0" applyNumberFormat="1" applyFont="1" applyFill="1" applyBorder="1" applyAlignment="1">
      <alignment horizontal="center" vertical="center"/>
    </xf>
    <xf numFmtId="170" fontId="19" fillId="4" borderId="1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5" xfId="0" applyNumberFormat="1" applyFont="1" applyFill="1" applyBorder="1" applyAlignment="1">
      <alignment horizontal="center" vertical="center"/>
    </xf>
    <xf numFmtId="169" fontId="19" fillId="4" borderId="33"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 xfId="0" applyNumberFormat="1"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35"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34" fillId="16" borderId="123" xfId="0" applyFont="1" applyFill="1" applyBorder="1" applyAlignment="1">
      <alignment horizontal="center" vertical="center" textRotation="90"/>
    </xf>
    <xf numFmtId="0" fontId="45" fillId="9" borderId="96" xfId="0" applyFont="1" applyFill="1" applyBorder="1" applyAlignment="1">
      <alignment horizontal="center" vertical="center"/>
    </xf>
    <xf numFmtId="0" fontId="34" fillId="4" borderId="0" xfId="0" applyFont="1" applyFill="1" applyAlignment="1">
      <alignment horizontal="left" wrapText="1"/>
    </xf>
    <xf numFmtId="170" fontId="19" fillId="4" borderId="6" xfId="0" applyNumberFormat="1" applyFont="1" applyFill="1" applyBorder="1" applyAlignment="1">
      <alignment horizontal="center" vertical="center"/>
    </xf>
    <xf numFmtId="170" fontId="19" fillId="4" borderId="7" xfId="0" applyNumberFormat="1" applyFont="1" applyFill="1" applyBorder="1" applyAlignment="1">
      <alignment horizontal="center" vertical="center"/>
    </xf>
    <xf numFmtId="0" fontId="45" fillId="9" borderId="49" xfId="0" applyFont="1" applyFill="1" applyBorder="1" applyAlignment="1">
      <alignment horizontal="left" vertical="center" indent="1"/>
    </xf>
    <xf numFmtId="0" fontId="45" fillId="9" borderId="93" xfId="0" applyFont="1" applyFill="1" applyBorder="1" applyAlignment="1">
      <alignment horizontal="center" vertical="center" wrapText="1"/>
    </xf>
    <xf numFmtId="0" fontId="45" fillId="9" borderId="49" xfId="0" applyFont="1" applyFill="1" applyBorder="1" applyAlignment="1">
      <alignment horizontal="center" vertical="center" wrapText="1"/>
    </xf>
    <xf numFmtId="169" fontId="19" fillId="4" borderId="6" xfId="0" applyNumberFormat="1" applyFont="1" applyFill="1" applyBorder="1" applyAlignment="1">
      <alignment horizontal="center" vertical="center"/>
    </xf>
    <xf numFmtId="0" fontId="45" fillId="9" borderId="94" xfId="0" applyFont="1" applyFill="1" applyBorder="1" applyAlignment="1">
      <alignment horizontal="center" vertical="center"/>
    </xf>
    <xf numFmtId="6" fontId="45" fillId="9" borderId="96" xfId="0" applyNumberFormat="1" applyFont="1" applyFill="1" applyBorder="1" applyAlignment="1">
      <alignment horizontal="center" vertical="center"/>
    </xf>
    <xf numFmtId="6" fontId="45" fillId="9" borderId="0" xfId="0" applyNumberFormat="1" applyFont="1" applyFill="1" applyBorder="1" applyAlignment="1">
      <alignment horizontal="center" vertical="center"/>
    </xf>
    <xf numFmtId="169" fontId="19" fillId="4" borderId="124" xfId="0" applyNumberFormat="1" applyFont="1" applyFill="1" applyBorder="1" applyAlignment="1">
      <alignment horizontal="center" vertical="center"/>
    </xf>
    <xf numFmtId="169" fontId="19" fillId="4" borderId="125"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6" fontId="19" fillId="4" borderId="33"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169" fontId="34" fillId="13" borderId="66" xfId="0" applyNumberFormat="1" applyFont="1" applyFill="1" applyBorder="1" applyAlignment="1">
      <alignment horizontal="center" vertical="center"/>
    </xf>
    <xf numFmtId="169" fontId="34" fillId="13" borderId="105" xfId="0" applyNumberFormat="1" applyFont="1" applyFill="1" applyBorder="1" applyAlignment="1">
      <alignment horizontal="center" vertical="center"/>
    </xf>
    <xf numFmtId="0" fontId="45" fillId="9" borderId="65" xfId="0"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49" fontId="19" fillId="4" borderId="34" xfId="0" applyNumberFormat="1" applyFont="1" applyFill="1" applyBorder="1" applyAlignment="1">
      <alignment horizontal="center" vertical="center"/>
    </xf>
    <xf numFmtId="49" fontId="19" fillId="4" borderId="31" xfId="0" applyNumberFormat="1" applyFont="1" applyFill="1" applyBorder="1" applyAlignment="1">
      <alignment horizontal="center" vertical="center"/>
    </xf>
    <xf numFmtId="49" fontId="19" fillId="4" borderId="25" xfId="0" applyNumberFormat="1" applyFont="1" applyFill="1" applyBorder="1" applyAlignment="1">
      <alignment horizontal="center" vertical="center"/>
    </xf>
    <xf numFmtId="0" fontId="45" fillId="9" borderId="102" xfId="0" applyFont="1" applyFill="1" applyBorder="1" applyAlignment="1">
      <alignment horizontal="center" vertical="center" wrapText="1"/>
    </xf>
    <xf numFmtId="0" fontId="34" fillId="4" borderId="31"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16" borderId="1" xfId="0" applyFont="1" applyFill="1" applyBorder="1" applyAlignment="1">
      <alignment horizontal="center" textRotation="90"/>
    </xf>
    <xf numFmtId="0" fontId="34" fillId="16" borderId="123" xfId="0" applyFont="1" applyFill="1" applyBorder="1" applyAlignment="1">
      <alignment horizontal="center" textRotation="90"/>
    </xf>
    <xf numFmtId="0" fontId="34" fillId="16" borderId="0" xfId="0" applyFont="1" applyFill="1" applyBorder="1" applyAlignment="1">
      <alignment horizontal="center" vertical="center" textRotation="90"/>
    </xf>
    <xf numFmtId="0" fontId="7" fillId="4" borderId="0" xfId="0" applyFont="1" applyFill="1" applyBorder="1" applyAlignment="1">
      <alignment horizontal="center" vertical="center"/>
    </xf>
    <xf numFmtId="0" fontId="52" fillId="9" borderId="96" xfId="0" applyFont="1" applyFill="1" applyBorder="1" applyAlignment="1">
      <alignment horizontal="center" vertical="center" wrapText="1"/>
    </xf>
    <xf numFmtId="0" fontId="52" fillId="9" borderId="42" xfId="0" applyFont="1" applyFill="1" applyBorder="1" applyAlignment="1">
      <alignment horizontal="center" vertical="center" wrapText="1"/>
    </xf>
    <xf numFmtId="0" fontId="62" fillId="9" borderId="96" xfId="0" applyFont="1" applyFill="1" applyBorder="1" applyAlignment="1">
      <alignment horizontal="center" vertical="center"/>
    </xf>
    <xf numFmtId="0" fontId="62" fillId="9" borderId="42" xfId="0" applyFont="1" applyFill="1" applyBorder="1" applyAlignment="1">
      <alignment horizontal="center" vertical="center"/>
    </xf>
    <xf numFmtId="0" fontId="45" fillId="9" borderId="63" xfId="0" applyFont="1" applyFill="1" applyBorder="1" applyAlignment="1">
      <alignment horizontal="center" vertical="center"/>
    </xf>
    <xf numFmtId="0" fontId="58" fillId="9" borderId="96" xfId="0" applyFont="1" applyFill="1" applyBorder="1" applyAlignment="1">
      <alignment horizontal="center" vertical="center" wrapText="1"/>
    </xf>
    <xf numFmtId="0" fontId="58" fillId="9" borderId="42" xfId="0" applyFont="1" applyFill="1" applyBorder="1" applyAlignment="1">
      <alignment horizontal="center" vertical="center" wrapText="1"/>
    </xf>
    <xf numFmtId="169" fontId="34" fillId="4" borderId="3" xfId="0" applyNumberFormat="1" applyFont="1" applyFill="1" applyBorder="1" applyAlignment="1">
      <alignment horizontal="center" vertical="center"/>
    </xf>
    <xf numFmtId="169" fontId="34" fillId="4" borderId="40" xfId="0" applyNumberFormat="1" applyFont="1" applyFill="1" applyBorder="1" applyAlignment="1">
      <alignment horizontal="center" vertical="center"/>
    </xf>
    <xf numFmtId="0" fontId="45" fillId="9" borderId="49" xfId="0" applyFont="1" applyFill="1" applyBorder="1" applyAlignment="1">
      <alignment horizontal="center" vertical="center"/>
    </xf>
    <xf numFmtId="0" fontId="45" fillId="9" borderId="106" xfId="0" applyFont="1" applyFill="1" applyBorder="1" applyAlignment="1">
      <alignment horizontal="center" vertical="center"/>
    </xf>
    <xf numFmtId="0" fontId="45" fillId="9" borderId="66" xfId="0" applyFont="1" applyFill="1" applyBorder="1" applyAlignment="1">
      <alignment horizontal="center" vertical="center"/>
    </xf>
    <xf numFmtId="0" fontId="58" fillId="9" borderId="0" xfId="0" applyFont="1" applyFill="1" applyBorder="1" applyAlignment="1">
      <alignment horizontal="center" vertical="center" wrapText="1"/>
    </xf>
    <xf numFmtId="0" fontId="58" fillId="9" borderId="65" xfId="0" applyFont="1" applyFill="1" applyBorder="1" applyAlignment="1">
      <alignment horizontal="center" vertical="center" wrapText="1"/>
    </xf>
    <xf numFmtId="169" fontId="34" fillId="13" borderId="0" xfId="0" applyNumberFormat="1" applyFont="1" applyFill="1" applyBorder="1" applyAlignment="1">
      <alignment horizontal="center" vertical="center"/>
    </xf>
    <xf numFmtId="169" fontId="34" fillId="13" borderId="1" xfId="0" applyNumberFormat="1" applyFont="1" applyFill="1" applyBorder="1" applyAlignment="1">
      <alignment horizontal="center" vertical="center"/>
    </xf>
    <xf numFmtId="0" fontId="45" fillId="9" borderId="98"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96" xfId="0" applyFont="1" applyFill="1" applyBorder="1" applyAlignment="1">
      <alignment horizontal="center" vertical="center" wrapText="1"/>
    </xf>
    <xf numFmtId="2" fontId="45" fillId="9" borderId="99" xfId="0" applyNumberFormat="1" applyFont="1" applyFill="1" applyBorder="1" applyAlignment="1">
      <alignment horizontal="center" vertical="center" wrapText="1"/>
    </xf>
    <xf numFmtId="2" fontId="45" fillId="9" borderId="70" xfId="0" applyNumberFormat="1" applyFont="1" applyFill="1" applyBorder="1" applyAlignment="1">
      <alignment horizontal="center" vertical="center" wrapText="1"/>
    </xf>
    <xf numFmtId="2" fontId="45" fillId="9" borderId="100" xfId="0" applyNumberFormat="1" applyFont="1" applyFill="1" applyBorder="1" applyAlignment="1">
      <alignment horizontal="center" vertical="center" wrapText="1"/>
    </xf>
    <xf numFmtId="169" fontId="34" fillId="13" borderId="65" xfId="0" applyNumberFormat="1" applyFont="1" applyFill="1" applyBorder="1" applyAlignment="1">
      <alignment horizontal="center" vertical="center"/>
    </xf>
    <xf numFmtId="169" fontId="34" fillId="13" borderId="2" xfId="0" applyNumberFormat="1" applyFont="1" applyFill="1" applyBorder="1" applyAlignment="1">
      <alignment horizontal="center" vertical="center"/>
    </xf>
    <xf numFmtId="169" fontId="34" fillId="13" borderId="101" xfId="0" applyNumberFormat="1" applyFont="1" applyFill="1" applyBorder="1" applyAlignment="1">
      <alignment horizontal="center" vertical="center"/>
    </xf>
    <xf numFmtId="0" fontId="58" fillId="9" borderId="102" xfId="0" applyFont="1" applyFill="1" applyBorder="1" applyAlignment="1">
      <alignment horizontal="center" vertical="center" wrapText="1"/>
    </xf>
    <xf numFmtId="0" fontId="45" fillId="9" borderId="103" xfId="0" applyFont="1" applyFill="1" applyBorder="1" applyAlignment="1">
      <alignment horizontal="center" vertical="center" wrapText="1"/>
    </xf>
    <xf numFmtId="0" fontId="45" fillId="9" borderId="104" xfId="0" applyFont="1" applyFill="1" applyBorder="1" applyAlignment="1">
      <alignment horizontal="center" vertical="center"/>
    </xf>
    <xf numFmtId="0" fontId="45" fillId="9" borderId="70" xfId="0" applyFont="1" applyFill="1" applyBorder="1" applyAlignment="1">
      <alignment horizontal="center" vertical="center"/>
    </xf>
    <xf numFmtId="0" fontId="34" fillId="16" borderId="65" xfId="0" applyFont="1" applyFill="1" applyBorder="1" applyAlignment="1">
      <alignment horizontal="center" vertical="center" textRotation="90"/>
    </xf>
    <xf numFmtId="0" fontId="34" fillId="4" borderId="66" xfId="0" applyFont="1" applyFill="1" applyBorder="1" applyAlignment="1">
      <alignment horizontal="left" vertical="center" wrapText="1" indent="1"/>
    </xf>
    <xf numFmtId="169" fontId="34" fillId="4" borderId="41"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169" fontId="34" fillId="13" borderId="67" xfId="0" applyNumberFormat="1" applyFont="1" applyFill="1" applyBorder="1" applyAlignment="1">
      <alignment horizontal="center" vertical="center"/>
    </xf>
    <xf numFmtId="169" fontId="34" fillId="4" borderId="107" xfId="0" applyNumberFormat="1" applyFont="1" applyFill="1" applyBorder="1" applyAlignment="1">
      <alignment horizontal="center" vertical="center"/>
    </xf>
    <xf numFmtId="169" fontId="34" fillId="4" borderId="108" xfId="0" applyNumberFormat="1" applyFont="1" applyFill="1" applyBorder="1" applyAlignment="1">
      <alignment horizontal="center" vertical="center"/>
    </xf>
    <xf numFmtId="169" fontId="19" fillId="4" borderId="2" xfId="0" applyNumberFormat="1" applyFont="1" applyFill="1" applyBorder="1" applyAlignment="1">
      <alignment horizontal="center" vertical="center"/>
    </xf>
    <xf numFmtId="169" fontId="19" fillId="4" borderId="11"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12" xfId="0" applyNumberFormat="1" applyFont="1" applyFill="1" applyBorder="1" applyAlignment="1">
      <alignment horizontal="center" vertical="center"/>
    </xf>
    <xf numFmtId="0" fontId="45" fillId="9" borderId="95" xfId="0" applyFont="1" applyFill="1" applyBorder="1" applyAlignment="1">
      <alignment horizontal="center" vertical="center"/>
    </xf>
    <xf numFmtId="0" fontId="19" fillId="4" borderId="22" xfId="0" applyFont="1" applyFill="1" applyBorder="1" applyAlignment="1">
      <alignment horizontal="left" vertical="center" wrapText="1" indent="1"/>
    </xf>
    <xf numFmtId="0" fontId="19" fillId="4" borderId="13" xfId="0" applyFont="1" applyFill="1" applyBorder="1" applyAlignment="1">
      <alignment horizontal="left" vertical="center" wrapText="1" indent="1"/>
    </xf>
    <xf numFmtId="0" fontId="19" fillId="4" borderId="0" xfId="0" applyFont="1" applyFill="1" applyBorder="1" applyAlignment="1">
      <alignment horizontal="center" vertical="center"/>
    </xf>
    <xf numFmtId="0" fontId="19" fillId="4" borderId="1" xfId="0" applyFont="1" applyFill="1" applyBorder="1" applyAlignment="1">
      <alignment horizontal="center" vertical="center"/>
    </xf>
    <xf numFmtId="6" fontId="52" fillId="9" borderId="96"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42"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70" fontId="19" fillId="4" borderId="33"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6" fontId="19" fillId="4" borderId="2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35" xfId="0" applyNumberFormat="1" applyFont="1" applyFill="1" applyBorder="1" applyAlignment="1">
      <alignment horizontal="center" vertical="center"/>
    </xf>
    <xf numFmtId="169" fontId="23" fillId="4" borderId="33" xfId="0" applyNumberFormat="1" applyFont="1" applyFill="1" applyBorder="1" applyAlignment="1">
      <alignment horizontal="center" vertical="center"/>
    </xf>
    <xf numFmtId="169" fontId="23" fillId="4" borderId="12" xfId="0" applyNumberFormat="1" applyFont="1" applyFill="1" applyBorder="1" applyAlignment="1">
      <alignment horizontal="center" vertical="center"/>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109" xfId="0" applyFont="1" applyFill="1" applyBorder="1" applyAlignment="1">
      <alignment horizontal="left" vertical="center" indent="1"/>
    </xf>
    <xf numFmtId="0" fontId="45" fillId="15" borderId="1" xfId="0" applyFont="1" applyFill="1" applyBorder="1" applyAlignment="1">
      <alignment horizontal="center" vertical="center"/>
    </xf>
    <xf numFmtId="0" fontId="45" fillId="15" borderId="11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49" fontId="19" fillId="4" borderId="5" xfId="0" applyNumberFormat="1" applyFont="1" applyFill="1" applyBorder="1" applyAlignment="1">
      <alignment horizontal="center" vertical="center"/>
    </xf>
    <xf numFmtId="0" fontId="45" fillId="15" borderId="0" xfId="8" applyFont="1" applyFill="1" applyBorder="1" applyAlignment="1">
      <alignment horizontal="center" vertical="center" wrapText="1"/>
    </xf>
    <xf numFmtId="0" fontId="45" fillId="15" borderId="42" xfId="8" applyFont="1" applyFill="1" applyBorder="1" applyAlignment="1">
      <alignment horizontal="center" vertical="center" wrapText="1"/>
    </xf>
    <xf numFmtId="169" fontId="19" fillId="4" borderId="34" xfId="31" applyNumberFormat="1" applyFont="1" applyFill="1" applyBorder="1" applyAlignment="1">
      <alignment horizontal="center" vertical="center"/>
    </xf>
    <xf numFmtId="169" fontId="19" fillId="4" borderId="31" xfId="31" applyNumberFormat="1" applyFont="1" applyFill="1" applyBorder="1" applyAlignment="1">
      <alignment horizontal="center" vertical="center"/>
    </xf>
    <xf numFmtId="169" fontId="19" fillId="4" borderId="25" xfId="31" applyNumberFormat="1" applyFont="1" applyFill="1" applyBorder="1" applyAlignment="1">
      <alignment horizontal="center" vertical="center"/>
    </xf>
    <xf numFmtId="0" fontId="45" fillId="15" borderId="111" xfId="0" applyFont="1" applyFill="1" applyBorder="1" applyAlignment="1">
      <alignment horizontal="center" vertical="center"/>
    </xf>
    <xf numFmtId="0" fontId="45" fillId="15" borderId="42" xfId="0" applyFont="1" applyFill="1" applyBorder="1" applyAlignment="1">
      <alignment horizontal="center" vertical="center"/>
    </xf>
    <xf numFmtId="0" fontId="45" fillId="15" borderId="112" xfId="0" applyFont="1" applyFill="1" applyBorder="1" applyAlignment="1">
      <alignment horizontal="center" vertical="center"/>
    </xf>
    <xf numFmtId="0" fontId="45" fillId="15" borderId="96" xfId="0" applyFont="1" applyFill="1" applyBorder="1" applyAlignment="1">
      <alignment horizontal="center" vertical="center" wrapText="1"/>
    </xf>
    <xf numFmtId="0" fontId="45" fillId="15" borderId="0" xfId="0" applyFont="1" applyFill="1" applyBorder="1" applyAlignment="1">
      <alignment horizontal="center" vertical="center" wrapText="1"/>
    </xf>
    <xf numFmtId="165" fontId="19" fillId="4" borderId="81" xfId="0" applyNumberFormat="1" applyFont="1" applyFill="1" applyBorder="1" applyAlignment="1">
      <alignment horizontal="center" vertical="center"/>
    </xf>
    <xf numFmtId="165" fontId="19" fillId="4" borderId="16" xfId="0" applyNumberFormat="1" applyFont="1" applyFill="1" applyBorder="1" applyAlignment="1">
      <alignment horizontal="center" vertical="center"/>
    </xf>
    <xf numFmtId="165" fontId="19" fillId="4" borderId="10" xfId="0" applyNumberFormat="1" applyFont="1" applyFill="1" applyBorder="1" applyAlignment="1">
      <alignment horizontal="center" vertical="center"/>
    </xf>
    <xf numFmtId="49" fontId="34" fillId="4" borderId="34" xfId="0" applyNumberFormat="1" applyFont="1" applyFill="1" applyBorder="1" applyAlignment="1">
      <alignment horizontal="center" vertical="center"/>
    </xf>
    <xf numFmtId="49" fontId="34" fillId="4" borderId="31" xfId="0" applyNumberFormat="1" applyFont="1" applyFill="1" applyBorder="1" applyAlignment="1">
      <alignment horizontal="center" vertical="center"/>
    </xf>
    <xf numFmtId="49" fontId="34" fillId="4" borderId="113" xfId="0" applyNumberFormat="1" applyFont="1" applyFill="1" applyBorder="1" applyAlignment="1">
      <alignment horizontal="center" vertical="center"/>
    </xf>
    <xf numFmtId="0" fontId="63" fillId="9" borderId="96" xfId="0" applyFont="1" applyFill="1" applyBorder="1" applyAlignment="1">
      <alignment horizontal="center" vertical="center"/>
    </xf>
    <xf numFmtId="0" fontId="63" fillId="9" borderId="42" xfId="0" applyFont="1" applyFill="1" applyBorder="1" applyAlignment="1">
      <alignment horizontal="center" vertical="center"/>
    </xf>
    <xf numFmtId="0" fontId="63" fillId="9" borderId="97" xfId="0" applyFont="1" applyFill="1" applyBorder="1" applyAlignment="1">
      <alignment horizontal="center" vertical="center"/>
    </xf>
    <xf numFmtId="0" fontId="63" fillId="9" borderId="57" xfId="0" applyFont="1" applyFill="1" applyBorder="1" applyAlignment="1">
      <alignment horizontal="center" vertical="center"/>
    </xf>
    <xf numFmtId="0" fontId="45" fillId="15" borderId="42" xfId="0" applyFont="1" applyFill="1" applyBorder="1" applyAlignment="1">
      <alignment horizontal="center" vertical="center" wrapText="1"/>
    </xf>
    <xf numFmtId="0" fontId="45" fillId="15" borderId="114" xfId="0" applyFont="1" applyFill="1" applyBorder="1" applyAlignment="1">
      <alignment horizontal="center" vertical="center" wrapText="1"/>
    </xf>
    <xf numFmtId="49" fontId="19" fillId="4" borderId="18" xfId="0" applyNumberFormat="1" applyFont="1" applyFill="1" applyBorder="1" applyAlignment="1">
      <alignment horizontal="center" vertical="center"/>
    </xf>
    <xf numFmtId="49" fontId="19" fillId="4" borderId="2" xfId="0" applyNumberFormat="1" applyFont="1" applyFill="1" applyBorder="1" applyAlignment="1">
      <alignment horizontal="center" vertical="center"/>
    </xf>
    <xf numFmtId="49" fontId="19" fillId="4" borderId="55" xfId="0" applyNumberFormat="1" applyFont="1" applyFill="1" applyBorder="1" applyAlignment="1">
      <alignment horizontal="center" vertical="center"/>
    </xf>
    <xf numFmtId="0" fontId="45" fillId="9" borderId="115" xfId="0" applyFont="1" applyFill="1" applyBorder="1" applyAlignment="1">
      <alignment horizontal="center" vertical="center"/>
    </xf>
    <xf numFmtId="0" fontId="45" fillId="9" borderId="72" xfId="0" applyFont="1" applyFill="1" applyBorder="1" applyAlignment="1">
      <alignment horizontal="center" vertical="center"/>
    </xf>
    <xf numFmtId="0" fontId="19" fillId="3" borderId="0" xfId="0" applyNumberFormat="1" applyFont="1" applyFill="1" applyAlignment="1">
      <alignment horizontal="left" vertical="center" wrapText="1"/>
    </xf>
    <xf numFmtId="0" fontId="19" fillId="0" borderId="34" xfId="0" applyFont="1" applyBorder="1" applyAlignment="1">
      <alignment horizontal="left" vertical="top" wrapText="1" indent="1"/>
    </xf>
    <xf numFmtId="0" fontId="19" fillId="0" borderId="25" xfId="0" applyFont="1" applyBorder="1" applyAlignment="1">
      <alignment horizontal="left" vertical="top" wrapText="1" indent="1"/>
    </xf>
    <xf numFmtId="0" fontId="56" fillId="9" borderId="43" xfId="0" applyFont="1" applyFill="1" applyBorder="1" applyAlignment="1">
      <alignment horizontal="center" vertical="center" wrapText="1"/>
    </xf>
    <xf numFmtId="0" fontId="56" fillId="9" borderId="57" xfId="0" applyFont="1" applyFill="1" applyBorder="1" applyAlignment="1">
      <alignment horizontal="center" vertical="center" wrapText="1"/>
    </xf>
    <xf numFmtId="0" fontId="19" fillId="0" borderId="34" xfId="0" applyFont="1" applyBorder="1" applyAlignment="1">
      <alignment horizontal="left" vertical="center" indent="1"/>
    </xf>
    <xf numFmtId="0" fontId="19" fillId="0" borderId="25" xfId="0" applyFont="1" applyBorder="1" applyAlignment="1">
      <alignment horizontal="left" vertical="center" indent="1"/>
    </xf>
    <xf numFmtId="0" fontId="19" fillId="0" borderId="116" xfId="0" applyFont="1" applyBorder="1" applyAlignment="1">
      <alignment horizontal="left" vertical="top" wrapText="1" indent="1"/>
    </xf>
    <xf numFmtId="0" fontId="19" fillId="0" borderId="117" xfId="0" applyFont="1" applyBorder="1" applyAlignment="1">
      <alignment horizontal="left" vertical="top" wrapText="1" indent="1"/>
    </xf>
    <xf numFmtId="0" fontId="19" fillId="0" borderId="38" xfId="0" applyFont="1" applyBorder="1" applyAlignment="1">
      <alignment horizontal="left" vertical="center" wrapText="1" indent="1"/>
    </xf>
    <xf numFmtId="0" fontId="19" fillId="0" borderId="39" xfId="0" applyFont="1" applyBorder="1" applyAlignment="1">
      <alignment horizontal="left" vertical="center" wrapText="1" indent="1"/>
    </xf>
    <xf numFmtId="0" fontId="19" fillId="0" borderId="116" xfId="0" applyFont="1" applyBorder="1" applyAlignment="1">
      <alignment horizontal="left" vertical="center" indent="1"/>
    </xf>
    <xf numFmtId="0" fontId="19" fillId="0" borderId="117" xfId="0" applyFont="1" applyBorder="1" applyAlignment="1">
      <alignment horizontal="left" vertical="center" indent="1"/>
    </xf>
    <xf numFmtId="0" fontId="19" fillId="0" borderId="34" xfId="0" applyFont="1" applyBorder="1" applyAlignment="1">
      <alignment horizontal="left" vertical="center" wrapText="1" indent="1"/>
    </xf>
    <xf numFmtId="0" fontId="19" fillId="0" borderId="25" xfId="0" applyFont="1" applyBorder="1" applyAlignment="1">
      <alignment horizontal="left" vertical="center" wrapText="1" indent="1"/>
    </xf>
    <xf numFmtId="0" fontId="56" fillId="9" borderId="0" xfId="0" applyFont="1" applyFill="1" applyBorder="1" applyAlignment="1">
      <alignment horizontal="center" vertical="center"/>
    </xf>
    <xf numFmtId="0" fontId="56" fillId="9" borderId="42" xfId="0" applyFont="1" applyFill="1" applyBorder="1" applyAlignment="1">
      <alignment horizontal="center" vertical="center"/>
    </xf>
    <xf numFmtId="0" fontId="34" fillId="4" borderId="9" xfId="0" applyFont="1" applyFill="1" applyBorder="1" applyAlignment="1">
      <alignment horizontal="left" vertical="center" indent="1"/>
    </xf>
    <xf numFmtId="0" fontId="45" fillId="9" borderId="63"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4"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wrapText="1"/>
    </xf>
    <xf numFmtId="0" fontId="34" fillId="4" borderId="38" xfId="0" applyFont="1" applyFill="1" applyBorder="1" applyAlignment="1">
      <alignment horizontal="left" vertical="center" indent="1"/>
    </xf>
    <xf numFmtId="0" fontId="34" fillId="4" borderId="39" xfId="0" applyFont="1" applyFill="1" applyBorder="1" applyAlignment="1">
      <alignment horizontal="left" vertical="center" indent="1"/>
    </xf>
    <xf numFmtId="0" fontId="34" fillId="4" borderId="14" xfId="0" applyFont="1" applyFill="1" applyBorder="1" applyAlignment="1">
      <alignment horizontal="left" vertical="center" indent="1"/>
    </xf>
    <xf numFmtId="0" fontId="34" fillId="4" borderId="0" xfId="0" applyFont="1" applyFill="1" applyAlignment="1"/>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4.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1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xmlns=""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xmlns="" id="{00000000-0008-0000-0000-00000CDC0F00}"/>
            </a:ext>
          </a:extLst>
        </xdr:cNvPr>
        <xdr:cNvSpPr/>
      </xdr:nvSpPr>
      <xdr:spPr>
        <a:xfrm>
          <a:off x="0" y="0"/>
          <a:ext cx="0" cy="0"/>
        </a:xfrm>
        <a:prstGeom prst="rect">
          <a:avLst/>
        </a:prstGeom>
      </xdr:spPr>
    </xdr:sp>
    <xdr:clientData/>
  </xdr:twoCellAnchor>
  <xdr:twoCellAnchor editAs="oneCell">
    <xdr:from>
      <xdr:col>7</xdr:col>
      <xdr:colOff>400050</xdr:colOff>
      <xdr:row>3</xdr:row>
      <xdr:rowOff>0</xdr:rowOff>
    </xdr:from>
    <xdr:to>
      <xdr:col>7</xdr:col>
      <xdr:colOff>666750</xdr:colOff>
      <xdr:row>4</xdr:row>
      <xdr:rowOff>0</xdr:rowOff>
    </xdr:to>
    <xdr:pic>
      <xdr:nvPicPr>
        <xdr:cNvPr id="1078209" name="Obraz 7" descr="Znalezione obrazy dla zapytania flaga pl wikipedia">
          <a:extLst>
            <a:ext uri="{FF2B5EF4-FFF2-40B4-BE49-F238E27FC236}">
              <a16:creationId xmlns:a16="http://schemas.microsoft.com/office/drawing/2014/main" xmlns=""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3</xdr:row>
      <xdr:rowOff>0</xdr:rowOff>
    </xdr:from>
    <xdr:to>
      <xdr:col>7</xdr:col>
      <xdr:colOff>1000125</xdr:colOff>
      <xdr:row>4</xdr:row>
      <xdr:rowOff>0</xdr:rowOff>
    </xdr:to>
    <xdr:pic>
      <xdr:nvPicPr>
        <xdr:cNvPr id="1078210" name="Obraz 8">
          <a:extLst>
            <a:ext uri="{FF2B5EF4-FFF2-40B4-BE49-F238E27FC236}">
              <a16:creationId xmlns:a16="http://schemas.microsoft.com/office/drawing/2014/main" xmlns=""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726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4</xdr:col>
          <xdr:colOff>0</xdr:colOff>
          <xdr:row>7</xdr:row>
          <xdr:rowOff>295275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xmlns=""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xmlns=""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37</xdr:row>
      <xdr:rowOff>142875</xdr:rowOff>
    </xdr:from>
    <xdr:to>
      <xdr:col>2</xdr:col>
      <xdr:colOff>104775</xdr:colOff>
      <xdr:row>40</xdr:row>
      <xdr:rowOff>104775</xdr:rowOff>
    </xdr:to>
    <xdr:pic>
      <xdr:nvPicPr>
        <xdr:cNvPr id="1083540" name="Obraz 14" descr="1.png">
          <a:extLst>
            <a:ext uri="{FF2B5EF4-FFF2-40B4-BE49-F238E27FC236}">
              <a16:creationId xmlns:a16="http://schemas.microsoft.com/office/drawing/2014/main" xmlns=""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57</xdr:row>
      <xdr:rowOff>9525</xdr:rowOff>
    </xdr:from>
    <xdr:to>
      <xdr:col>2</xdr:col>
      <xdr:colOff>885825</xdr:colOff>
      <xdr:row>59</xdr:row>
      <xdr:rowOff>85725</xdr:rowOff>
    </xdr:to>
    <xdr:pic>
      <xdr:nvPicPr>
        <xdr:cNvPr id="1083541" name="Picture 2" descr="image003">
          <a:extLst>
            <a:ext uri="{FF2B5EF4-FFF2-40B4-BE49-F238E27FC236}">
              <a16:creationId xmlns:a16="http://schemas.microsoft.com/office/drawing/2014/main" xmlns=""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xmlns=""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94</xdr:row>
      <xdr:rowOff>0</xdr:rowOff>
    </xdr:from>
    <xdr:to>
      <xdr:col>2</xdr:col>
      <xdr:colOff>104775</xdr:colOff>
      <xdr:row>95</xdr:row>
      <xdr:rowOff>28575</xdr:rowOff>
    </xdr:to>
    <xdr:pic>
      <xdr:nvPicPr>
        <xdr:cNvPr id="1083543" name="Obraz 15" descr="http://a.wpimg.pl/a/i/stg/550/wpw.png">
          <a:extLst>
            <a:ext uri="{FF2B5EF4-FFF2-40B4-BE49-F238E27FC236}">
              <a16:creationId xmlns:a16="http://schemas.microsoft.com/office/drawing/2014/main" xmlns=""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76200</xdr:rowOff>
    </xdr:from>
    <xdr:to>
      <xdr:col>2</xdr:col>
      <xdr:colOff>704850</xdr:colOff>
      <xdr:row>69</xdr:row>
      <xdr:rowOff>76200</xdr:rowOff>
    </xdr:to>
    <xdr:pic>
      <xdr:nvPicPr>
        <xdr:cNvPr id="1083544" name="Obraz 2">
          <a:extLst>
            <a:ext uri="{FF2B5EF4-FFF2-40B4-BE49-F238E27FC236}">
              <a16:creationId xmlns:a16="http://schemas.microsoft.com/office/drawing/2014/main" xmlns=""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2706350"/>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77</xdr:row>
      <xdr:rowOff>76200</xdr:rowOff>
    </xdr:from>
    <xdr:to>
      <xdr:col>3</xdr:col>
      <xdr:colOff>200025</xdr:colOff>
      <xdr:row>79</xdr:row>
      <xdr:rowOff>85725</xdr:rowOff>
    </xdr:to>
    <xdr:pic>
      <xdr:nvPicPr>
        <xdr:cNvPr id="1083545" name="Obraz 2">
          <a:extLst>
            <a:ext uri="{FF2B5EF4-FFF2-40B4-BE49-F238E27FC236}">
              <a16:creationId xmlns:a16="http://schemas.microsoft.com/office/drawing/2014/main" xmlns=""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3</xdr:row>
      <xdr:rowOff>0</xdr:rowOff>
    </xdr:from>
    <xdr:to>
      <xdr:col>9</xdr:col>
      <xdr:colOff>552450</xdr:colOff>
      <xdr:row>4</xdr:row>
      <xdr:rowOff>0</xdr:rowOff>
    </xdr:to>
    <xdr:pic>
      <xdr:nvPicPr>
        <xdr:cNvPr id="1083546" name="Obraz 9" descr="Znalezione obrazy dla zapytania flaga pl wikipedia">
          <a:extLst>
            <a:ext uri="{FF2B5EF4-FFF2-40B4-BE49-F238E27FC236}">
              <a16:creationId xmlns:a16="http://schemas.microsoft.com/office/drawing/2014/main" xmlns="" id="{00000000-0008-0000-0100-00009A881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678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581025</xdr:colOff>
      <xdr:row>3</xdr:row>
      <xdr:rowOff>0</xdr:rowOff>
    </xdr:from>
    <xdr:to>
      <xdr:col>9</xdr:col>
      <xdr:colOff>904875</xdr:colOff>
      <xdr:row>4</xdr:row>
      <xdr:rowOff>0</xdr:rowOff>
    </xdr:to>
    <xdr:pic>
      <xdr:nvPicPr>
        <xdr:cNvPr id="1083547" name="Obraz 1">
          <a:extLst>
            <a:ext uri="{FF2B5EF4-FFF2-40B4-BE49-F238E27FC236}">
              <a16:creationId xmlns:a16="http://schemas.microsoft.com/office/drawing/2014/main" xmlns="" id="{00000000-0008-0000-0100-00009B881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631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85</xdr:row>
      <xdr:rowOff>76200</xdr:rowOff>
    </xdr:from>
    <xdr:to>
      <xdr:col>3</xdr:col>
      <xdr:colOff>257175</xdr:colOff>
      <xdr:row>87</xdr:row>
      <xdr:rowOff>85725</xdr:rowOff>
    </xdr:to>
    <xdr:pic>
      <xdr:nvPicPr>
        <xdr:cNvPr id="1083549" name="Obraz 1">
          <a:extLst>
            <a:ext uri="{FF2B5EF4-FFF2-40B4-BE49-F238E27FC236}">
              <a16:creationId xmlns:a16="http://schemas.microsoft.com/office/drawing/2014/main" xmlns="" id="{00000000-0008-0000-0100-00009D881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0</xdr:colOff>
      <xdr:row>8</xdr:row>
      <xdr:rowOff>0</xdr:rowOff>
    </xdr:from>
    <xdr:to>
      <xdr:col>2</xdr:col>
      <xdr:colOff>428625</xdr:colOff>
      <xdr:row>9</xdr:row>
      <xdr:rowOff>142875</xdr:rowOff>
    </xdr:to>
    <xdr:pic>
      <xdr:nvPicPr>
        <xdr:cNvPr id="1082442" name="Obraz 15" descr="http://a.wpimg.pl/a/i/stg/550/wpw.png">
          <a:extLst>
            <a:ext uri="{FF2B5EF4-FFF2-40B4-BE49-F238E27FC236}">
              <a16:creationId xmlns:a16="http://schemas.microsoft.com/office/drawing/2014/main" xmlns="" id="{00000000-0008-0000-0200-00004A84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409575</xdr:colOff>
      <xdr:row>3</xdr:row>
      <xdr:rowOff>0</xdr:rowOff>
    </xdr:from>
    <xdr:to>
      <xdr:col>12</xdr:col>
      <xdr:colOff>9525</xdr:colOff>
      <xdr:row>4</xdr:row>
      <xdr:rowOff>0</xdr:rowOff>
    </xdr:to>
    <xdr:pic>
      <xdr:nvPicPr>
        <xdr:cNvPr id="1082443" name="Obraz 9" descr="Znalezione obrazy dla zapytania flaga pl wikipedia">
          <a:extLst>
            <a:ext uri="{FF2B5EF4-FFF2-40B4-BE49-F238E27FC236}">
              <a16:creationId xmlns:a16="http://schemas.microsoft.com/office/drawing/2014/main" xmlns="" id="{00000000-0008-0000-0200-00004B84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724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3</xdr:row>
      <xdr:rowOff>9525</xdr:rowOff>
    </xdr:from>
    <xdr:to>
      <xdr:col>12</xdr:col>
      <xdr:colOff>361950</xdr:colOff>
      <xdr:row>4</xdr:row>
      <xdr:rowOff>9525</xdr:rowOff>
    </xdr:to>
    <xdr:pic>
      <xdr:nvPicPr>
        <xdr:cNvPr id="1082444" name="Obraz 1">
          <a:extLst>
            <a:ext uri="{FF2B5EF4-FFF2-40B4-BE49-F238E27FC236}">
              <a16:creationId xmlns:a16="http://schemas.microsoft.com/office/drawing/2014/main" xmlns="" id="{00000000-0008-0000-0200-00004C841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67750" y="495300"/>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428625</xdr:colOff>
      <xdr:row>28</xdr:row>
      <xdr:rowOff>304800</xdr:rowOff>
    </xdr:to>
    <xdr:pic>
      <xdr:nvPicPr>
        <xdr:cNvPr id="7" name="Obraz 15" descr="http://a.wpimg.pl/a/i/stg/550/wpw.png">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5019675"/>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50</xdr:row>
      <xdr:rowOff>0</xdr:rowOff>
    </xdr:from>
    <xdr:ext cx="428625" cy="304800"/>
    <xdr:pic>
      <xdr:nvPicPr>
        <xdr:cNvPr id="9" name="Obraz 15" descr="http://a.wpimg.pl/a/i/stg/550/wpw.png">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8286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809625</xdr:colOff>
      <xdr:row>3</xdr:row>
      <xdr:rowOff>0</xdr:rowOff>
    </xdr:from>
    <xdr:to>
      <xdr:col>7</xdr:col>
      <xdr:colOff>1076325</xdr:colOff>
      <xdr:row>4</xdr:row>
      <xdr:rowOff>0</xdr:rowOff>
    </xdr:to>
    <xdr:pic>
      <xdr:nvPicPr>
        <xdr:cNvPr id="1075088" name="Obraz 8" descr="Znalezione obrazy dla zapytania flaga pl wikipedia">
          <a:extLst>
            <a:ext uri="{FF2B5EF4-FFF2-40B4-BE49-F238E27FC236}">
              <a16:creationId xmlns:a16="http://schemas.microsoft.com/office/drawing/2014/main" xmlns="" id="{00000000-0008-0000-0300-00009067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1114425</xdr:colOff>
      <xdr:row>3</xdr:row>
      <xdr:rowOff>0</xdr:rowOff>
    </xdr:from>
    <xdr:to>
      <xdr:col>7</xdr:col>
      <xdr:colOff>1419225</xdr:colOff>
      <xdr:row>4</xdr:row>
      <xdr:rowOff>0</xdr:rowOff>
    </xdr:to>
    <xdr:pic>
      <xdr:nvPicPr>
        <xdr:cNvPr id="1075089" name="Obraz 9">
          <a:extLst>
            <a:ext uri="{FF2B5EF4-FFF2-40B4-BE49-F238E27FC236}">
              <a16:creationId xmlns:a16="http://schemas.microsoft.com/office/drawing/2014/main" xmlns="" id="{00000000-0008-0000-0300-00009167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250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3</xdr:row>
      <xdr:rowOff>0</xdr:rowOff>
    </xdr:from>
    <xdr:to>
      <xdr:col>6</xdr:col>
      <xdr:colOff>695325</xdr:colOff>
      <xdr:row>4</xdr:row>
      <xdr:rowOff>0</xdr:rowOff>
    </xdr:to>
    <xdr:pic>
      <xdr:nvPicPr>
        <xdr:cNvPr id="1080147" name="Obraz 3" descr="Znalezione obrazy dla zapytania flaga pl wikipedia">
          <a:extLst>
            <a:ext uri="{FF2B5EF4-FFF2-40B4-BE49-F238E27FC236}">
              <a16:creationId xmlns:a16="http://schemas.microsoft.com/office/drawing/2014/main" xmlns="" id="{00000000-0008-0000-0400-0000537B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485775"/>
          <a:ext cx="285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3</xdr:row>
      <xdr:rowOff>0</xdr:rowOff>
    </xdr:from>
    <xdr:to>
      <xdr:col>6</xdr:col>
      <xdr:colOff>1028700</xdr:colOff>
      <xdr:row>4</xdr:row>
      <xdr:rowOff>0</xdr:rowOff>
    </xdr:to>
    <xdr:pic>
      <xdr:nvPicPr>
        <xdr:cNvPr id="1080148" name="Obraz 4">
          <a:extLst>
            <a:ext uri="{FF2B5EF4-FFF2-40B4-BE49-F238E27FC236}">
              <a16:creationId xmlns:a16="http://schemas.microsoft.com/office/drawing/2014/main" xmlns="" id="{00000000-0008-0000-0400-0000547B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1018819</xdr:colOff>
      <xdr:row>5</xdr:row>
      <xdr:rowOff>58486</xdr:rowOff>
    </xdr:to>
    <xdr:pic>
      <xdr:nvPicPr>
        <xdr:cNvPr id="6" name="Picture 2">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95250</xdr:colOff>
      <xdr:row>33</xdr:row>
      <xdr:rowOff>9525</xdr:rowOff>
    </xdr:from>
    <xdr:to>
      <xdr:col>1</xdr:col>
      <xdr:colOff>1095375</xdr:colOff>
      <xdr:row>34</xdr:row>
      <xdr:rowOff>0</xdr:rowOff>
    </xdr:to>
    <xdr:pic>
      <xdr:nvPicPr>
        <xdr:cNvPr id="1080150" name="Obraz 5">
          <a:extLst>
            <a:ext uri="{FF2B5EF4-FFF2-40B4-BE49-F238E27FC236}">
              <a16:creationId xmlns:a16="http://schemas.microsoft.com/office/drawing/2014/main" xmlns="" id="{00000000-0008-0000-0400-0000567B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514350</xdr:colOff>
      <xdr:row>3</xdr:row>
      <xdr:rowOff>0</xdr:rowOff>
    </xdr:from>
    <xdr:to>
      <xdr:col>15</xdr:col>
      <xdr:colOff>95250</xdr:colOff>
      <xdr:row>4</xdr:row>
      <xdr:rowOff>0</xdr:rowOff>
    </xdr:to>
    <xdr:pic>
      <xdr:nvPicPr>
        <xdr:cNvPr id="1073114" name="Obraz 6" descr="Znalezione obrazy dla zapytania flaga pl wikipedia">
          <a:extLst>
            <a:ext uri="{FF2B5EF4-FFF2-40B4-BE49-F238E27FC236}">
              <a16:creationId xmlns:a16="http://schemas.microsoft.com/office/drawing/2014/main" xmlns="" id="{00000000-0008-0000-0500-0000DA5F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123825</xdr:colOff>
      <xdr:row>3</xdr:row>
      <xdr:rowOff>0</xdr:rowOff>
    </xdr:from>
    <xdr:to>
      <xdr:col>15</xdr:col>
      <xdr:colOff>428625</xdr:colOff>
      <xdr:row>4</xdr:row>
      <xdr:rowOff>0</xdr:rowOff>
    </xdr:to>
    <xdr:pic>
      <xdr:nvPicPr>
        <xdr:cNvPr id="1073115" name="Obraz 7">
          <a:extLst>
            <a:ext uri="{FF2B5EF4-FFF2-40B4-BE49-F238E27FC236}">
              <a16:creationId xmlns:a16="http://schemas.microsoft.com/office/drawing/2014/main" xmlns="" id="{00000000-0008-0000-0500-0000DB5F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10875"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342900</xdr:colOff>
      <xdr:row>3</xdr:row>
      <xdr:rowOff>0</xdr:rowOff>
    </xdr:from>
    <xdr:to>
      <xdr:col>11</xdr:col>
      <xdr:colOff>619125</xdr:colOff>
      <xdr:row>4</xdr:row>
      <xdr:rowOff>0</xdr:rowOff>
    </xdr:to>
    <xdr:pic>
      <xdr:nvPicPr>
        <xdr:cNvPr id="1075943" name="Obraz 3" descr="Znalezione obrazy dla zapytania flaga pl wikipedia">
          <a:extLst>
            <a:ext uri="{FF2B5EF4-FFF2-40B4-BE49-F238E27FC236}">
              <a16:creationId xmlns:a16="http://schemas.microsoft.com/office/drawing/2014/main" xmlns="" id="{00000000-0008-0000-0600-0000E76A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7525" y="485775"/>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647700</xdr:colOff>
      <xdr:row>3</xdr:row>
      <xdr:rowOff>0</xdr:rowOff>
    </xdr:from>
    <xdr:to>
      <xdr:col>11</xdr:col>
      <xdr:colOff>971550</xdr:colOff>
      <xdr:row>4</xdr:row>
      <xdr:rowOff>0</xdr:rowOff>
    </xdr:to>
    <xdr:pic>
      <xdr:nvPicPr>
        <xdr:cNvPr id="1075944" name="Obraz 5">
          <a:extLst>
            <a:ext uri="{FF2B5EF4-FFF2-40B4-BE49-F238E27FC236}">
              <a16:creationId xmlns:a16="http://schemas.microsoft.com/office/drawing/2014/main" xmlns="" id="{00000000-0008-0000-0600-0000E86A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0</xdr:row>
      <xdr:rowOff>104775</xdr:rowOff>
    </xdr:from>
    <xdr:to>
      <xdr:col>1</xdr:col>
      <xdr:colOff>1219200</xdr:colOff>
      <xdr:row>3</xdr:row>
      <xdr:rowOff>133350</xdr:rowOff>
    </xdr:to>
    <xdr:pic>
      <xdr:nvPicPr>
        <xdr:cNvPr id="1076962" name="9C468C96-B929-4FE2-870E-0CA74E038113" descr="EAB04DB1-E208-4E81-BDA4-898C3251B9FD@waw">
          <a:extLst>
            <a:ext uri="{FF2B5EF4-FFF2-40B4-BE49-F238E27FC236}">
              <a16:creationId xmlns:a16="http://schemas.microsoft.com/office/drawing/2014/main" xmlns="" id="{00000000-0008-0000-0700-0000E26E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6914"/>
        <a:stretch>
          <a:fillRect/>
        </a:stretch>
      </xdr:blipFill>
      <xdr:spPr bwMode="auto">
        <a:xfrm>
          <a:off x="314325" y="104775"/>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619125</xdr:colOff>
      <xdr:row>3</xdr:row>
      <xdr:rowOff>0</xdr:rowOff>
    </xdr:from>
    <xdr:to>
      <xdr:col>16</xdr:col>
      <xdr:colOff>123825</xdr:colOff>
      <xdr:row>4</xdr:row>
      <xdr:rowOff>0</xdr:rowOff>
    </xdr:to>
    <xdr:pic>
      <xdr:nvPicPr>
        <xdr:cNvPr id="1076963" name="Obraz 3" descr="Znalezione obrazy dla zapytania flaga pl wikipedia">
          <a:extLst>
            <a:ext uri="{FF2B5EF4-FFF2-40B4-BE49-F238E27FC236}">
              <a16:creationId xmlns:a16="http://schemas.microsoft.com/office/drawing/2014/main" xmlns="" id="{00000000-0008-0000-0700-0000E36E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372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152400</xdr:colOff>
      <xdr:row>3</xdr:row>
      <xdr:rowOff>0</xdr:rowOff>
    </xdr:from>
    <xdr:to>
      <xdr:col>16</xdr:col>
      <xdr:colOff>466725</xdr:colOff>
      <xdr:row>4</xdr:row>
      <xdr:rowOff>0</xdr:rowOff>
    </xdr:to>
    <xdr:pic>
      <xdr:nvPicPr>
        <xdr:cNvPr id="1076964" name="Obraz 4">
          <a:extLst>
            <a:ext uri="{FF2B5EF4-FFF2-40B4-BE49-F238E27FC236}">
              <a16:creationId xmlns:a16="http://schemas.microsoft.com/office/drawing/2014/main" xmlns="" id="{00000000-0008-0000-0700-0000E46E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900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3</xdr:col>
      <xdr:colOff>2047875</xdr:colOff>
      <xdr:row>3</xdr:row>
      <xdr:rowOff>0</xdr:rowOff>
    </xdr:from>
    <xdr:to>
      <xdr:col>3</xdr:col>
      <xdr:colOff>2305050</xdr:colOff>
      <xdr:row>4</xdr:row>
      <xdr:rowOff>0</xdr:rowOff>
    </xdr:to>
    <xdr:pic>
      <xdr:nvPicPr>
        <xdr:cNvPr id="1084446" name="Obraz 3" descr="Znalezione obrazy dla zapytania flaga pl wikipedia">
          <a:extLst>
            <a:ext uri="{FF2B5EF4-FFF2-40B4-BE49-F238E27FC236}">
              <a16:creationId xmlns:a16="http://schemas.microsoft.com/office/drawing/2014/main" xmlns="" id="{00000000-0008-0000-0800-00001E8C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15350" y="4857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2333625</xdr:colOff>
      <xdr:row>3</xdr:row>
      <xdr:rowOff>0</xdr:rowOff>
    </xdr:from>
    <xdr:to>
      <xdr:col>3</xdr:col>
      <xdr:colOff>2638425</xdr:colOff>
      <xdr:row>4</xdr:row>
      <xdr:rowOff>0</xdr:rowOff>
    </xdr:to>
    <xdr:pic>
      <xdr:nvPicPr>
        <xdr:cNvPr id="1084447" name="Obraz 4">
          <a:extLst>
            <a:ext uri="{FF2B5EF4-FFF2-40B4-BE49-F238E27FC236}">
              <a16:creationId xmlns:a16="http://schemas.microsoft.com/office/drawing/2014/main" xmlns="" id="{00000000-0008-0000-0800-00001F8C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0110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tabSelected="1" zoomScaleNormal="100" workbookViewId="0">
      <pane ySplit="8" topLeftCell="A9" activePane="bottomLeft" state="frozen"/>
      <selection pane="bottomLeft"/>
    </sheetView>
  </sheetViews>
  <sheetFormatPr defaultColWidth="11.42578125" defaultRowHeight="12.75"/>
  <cols>
    <col min="1" max="1" width="5.5703125" style="142" customWidth="1"/>
    <col min="2" max="2" width="8.85546875" style="142" customWidth="1"/>
    <col min="3" max="4" width="30.85546875" style="142" customWidth="1"/>
    <col min="5" max="8" width="20" style="142" customWidth="1"/>
    <col min="9" max="9" width="17.85546875" style="142" customWidth="1"/>
    <col min="10" max="10" width="8.85546875" style="142" customWidth="1"/>
    <col min="11" max="11" width="38.42578125" style="142" customWidth="1"/>
    <col min="12" max="13" width="9.140625" style="142" customWidth="1"/>
    <col min="14" max="15" width="11.42578125" style="142" customWidth="1"/>
    <col min="16" max="16" width="9.140625" style="142" customWidth="1"/>
    <col min="17" max="16384" width="11.42578125" style="142"/>
  </cols>
  <sheetData>
    <row r="1" spans="1:26" ht="12.75" customHeight="1">
      <c r="A1" s="353"/>
      <c r="B1" s="353"/>
      <c r="C1" s="353"/>
      <c r="D1" s="353"/>
      <c r="E1" s="523" t="str">
        <f>IF($B$30="Polski",CONCATENATE("Cennik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23"/>
      <c r="G1" s="523"/>
      <c r="H1" s="523"/>
      <c r="I1" s="18"/>
      <c r="J1" s="353"/>
      <c r="K1" s="523"/>
      <c r="L1" s="523"/>
      <c r="M1" s="523"/>
      <c r="N1" s="523"/>
      <c r="O1" s="523"/>
      <c r="P1" s="523"/>
      <c r="Q1" s="353"/>
      <c r="R1" s="353"/>
      <c r="S1" s="353"/>
      <c r="T1" s="353"/>
      <c r="U1" s="353"/>
      <c r="V1" s="353"/>
      <c r="W1" s="353"/>
      <c r="X1" s="353"/>
      <c r="Y1" s="353"/>
      <c r="Z1" s="353"/>
    </row>
    <row r="2" spans="1:26" ht="12.75" customHeight="1">
      <c r="A2" s="353"/>
      <c r="B2" s="353"/>
      <c r="C2" s="200"/>
      <c r="D2" s="18"/>
      <c r="E2" s="523"/>
      <c r="F2" s="523"/>
      <c r="G2" s="523"/>
      <c r="H2" s="523"/>
      <c r="I2" s="18"/>
      <c r="J2" s="355"/>
      <c r="K2" s="523"/>
      <c r="L2" s="523"/>
      <c r="M2" s="523"/>
      <c r="N2" s="523"/>
      <c r="O2" s="523"/>
      <c r="P2" s="523"/>
      <c r="Q2" s="353"/>
      <c r="R2" s="353"/>
      <c r="S2" s="353"/>
      <c r="T2" s="353"/>
      <c r="U2" s="353"/>
      <c r="V2" s="353"/>
      <c r="W2" s="353"/>
      <c r="X2" s="353"/>
      <c r="Y2" s="353"/>
      <c r="Z2" s="353"/>
    </row>
    <row r="3" spans="1:26">
      <c r="A3" s="353"/>
      <c r="B3" s="353"/>
      <c r="C3" s="353"/>
      <c r="D3" s="18"/>
      <c r="E3" s="523"/>
      <c r="F3" s="523"/>
      <c r="G3" s="523"/>
      <c r="H3" s="523"/>
      <c r="I3" s="18"/>
      <c r="J3" s="355"/>
      <c r="K3" s="523"/>
      <c r="L3" s="523"/>
      <c r="M3" s="523"/>
      <c r="N3" s="523"/>
      <c r="O3" s="523"/>
      <c r="P3" s="523"/>
      <c r="Q3" s="353"/>
      <c r="R3" s="353"/>
      <c r="S3" s="353"/>
      <c r="T3" s="353"/>
      <c r="U3" s="353"/>
      <c r="V3" s="353"/>
      <c r="W3" s="353"/>
      <c r="X3" s="353"/>
      <c r="Y3" s="353"/>
      <c r="Z3" s="353"/>
    </row>
    <row r="4" spans="1:26" s="35" customFormat="1" ht="12.75" customHeight="1">
      <c r="A4" s="356"/>
      <c r="B4" s="36" t="s">
        <v>0</v>
      </c>
      <c r="C4" s="356"/>
      <c r="D4" s="356"/>
      <c r="E4" s="356"/>
      <c r="F4" s="356"/>
      <c r="G4" s="356"/>
      <c r="H4" s="356"/>
      <c r="I4" s="356"/>
      <c r="J4" s="356"/>
      <c r="K4" s="356"/>
      <c r="L4" s="356"/>
      <c r="M4" s="356"/>
      <c r="N4" s="356"/>
      <c r="O4" s="356"/>
      <c r="P4" s="356"/>
      <c r="Q4" s="356"/>
      <c r="R4" s="356"/>
      <c r="S4" s="356"/>
      <c r="T4" s="356"/>
      <c r="U4" s="356"/>
      <c r="V4" s="356"/>
      <c r="W4" s="356"/>
      <c r="X4" s="356"/>
      <c r="Y4" s="356"/>
      <c r="Z4" s="356"/>
    </row>
    <row r="5" spans="1:26" s="123" customFormat="1" ht="12.75" customHeight="1">
      <c r="A5" s="341"/>
      <c r="B5" s="17"/>
      <c r="C5" s="341"/>
      <c r="D5" s="341"/>
      <c r="E5" s="341"/>
      <c r="F5" s="341"/>
      <c r="G5" s="341"/>
      <c r="H5" s="341"/>
      <c r="I5" s="341"/>
      <c r="J5" s="341"/>
      <c r="K5" s="341"/>
      <c r="L5" s="341"/>
      <c r="M5" s="341"/>
      <c r="N5" s="341"/>
      <c r="O5" s="341"/>
      <c r="P5" s="341"/>
      <c r="Q5" s="341"/>
      <c r="R5" s="341"/>
      <c r="S5" s="341"/>
      <c r="T5" s="341"/>
      <c r="U5" s="341"/>
      <c r="V5" s="341"/>
      <c r="W5" s="341"/>
      <c r="X5" s="341"/>
      <c r="Y5" s="341"/>
      <c r="Z5" s="341"/>
    </row>
    <row r="6" spans="1:26">
      <c r="A6" s="353"/>
      <c r="B6" s="341"/>
      <c r="C6" s="341"/>
      <c r="D6" s="341"/>
      <c r="E6" s="353"/>
      <c r="F6" s="353"/>
      <c r="G6" s="353"/>
      <c r="H6" s="353"/>
      <c r="I6" s="353"/>
      <c r="J6" s="341"/>
      <c r="K6" s="341"/>
      <c r="L6" s="341"/>
      <c r="M6" s="341"/>
      <c r="N6" s="341"/>
      <c r="O6" s="341"/>
      <c r="P6" s="341"/>
      <c r="Q6" s="353"/>
      <c r="R6" s="353"/>
      <c r="S6" s="353"/>
      <c r="T6" s="353"/>
      <c r="U6" s="353"/>
      <c r="V6" s="353"/>
      <c r="W6" s="353"/>
      <c r="X6" s="353"/>
      <c r="Y6" s="353"/>
      <c r="Z6" s="353"/>
    </row>
    <row r="7" spans="1:26" ht="36.200000000000003" customHeight="1">
      <c r="A7" s="341"/>
      <c r="B7" s="69"/>
      <c r="C7" s="138" t="s">
        <v>1</v>
      </c>
      <c r="D7" s="137" t="s">
        <v>2</v>
      </c>
      <c r="E7" s="103"/>
      <c r="F7" s="524"/>
      <c r="G7" s="524"/>
      <c r="H7" s="524"/>
      <c r="I7" s="524"/>
      <c r="J7" s="353"/>
      <c r="K7" s="526"/>
      <c r="L7" s="526"/>
      <c r="M7" s="526"/>
      <c r="N7" s="526"/>
      <c r="O7" s="526"/>
      <c r="P7" s="526"/>
      <c r="Q7" s="353"/>
      <c r="R7" s="353"/>
      <c r="S7" s="353"/>
      <c r="T7" s="353"/>
      <c r="U7" s="353"/>
      <c r="V7" s="353"/>
      <c r="W7" s="353"/>
      <c r="X7" s="353"/>
      <c r="Y7" s="353"/>
      <c r="Z7" s="153" t="s">
        <v>3</v>
      </c>
    </row>
    <row r="8" spans="1:26" ht="25.5" customHeight="1">
      <c r="A8" s="353"/>
      <c r="B8" s="139"/>
      <c r="C8" s="528" t="str">
        <f>INDEX(Z7:Z8,A30)</f>
        <v>Polski</v>
      </c>
      <c r="D8" s="528"/>
      <c r="E8" s="495"/>
      <c r="F8" s="525"/>
      <c r="G8" s="525"/>
      <c r="H8" s="525"/>
      <c r="I8" s="525"/>
      <c r="J8" s="341"/>
      <c r="K8" s="428"/>
      <c r="L8" s="529"/>
      <c r="M8" s="529"/>
      <c r="N8" s="529"/>
      <c r="O8" s="529"/>
      <c r="P8" s="529"/>
      <c r="Q8" s="353"/>
      <c r="R8" s="353"/>
      <c r="S8" s="353"/>
      <c r="T8" s="353"/>
      <c r="U8" s="353"/>
      <c r="V8" s="353"/>
      <c r="W8" s="353"/>
      <c r="X8" s="353"/>
      <c r="Y8" s="353"/>
      <c r="Z8" s="153" t="s">
        <v>4</v>
      </c>
    </row>
    <row r="9" spans="1:26" ht="25.35" customHeight="1">
      <c r="A9" s="353"/>
      <c r="B9" s="139"/>
      <c r="C9" s="530"/>
      <c r="D9" s="527"/>
      <c r="E9" s="427"/>
      <c r="F9" s="64"/>
      <c r="G9" s="65"/>
      <c r="H9" s="66"/>
      <c r="I9" s="66"/>
      <c r="J9" s="341"/>
      <c r="K9" s="86"/>
      <c r="L9" s="531"/>
      <c r="M9" s="531"/>
      <c r="N9" s="531"/>
      <c r="O9" s="531"/>
      <c r="P9" s="531"/>
      <c r="Q9" s="353"/>
      <c r="R9" s="353"/>
      <c r="S9" s="353"/>
      <c r="T9" s="353"/>
      <c r="U9" s="353"/>
      <c r="V9" s="353"/>
      <c r="W9" s="353"/>
      <c r="X9" s="353"/>
      <c r="Y9" s="353"/>
      <c r="Z9" s="353"/>
    </row>
    <row r="10" spans="1:26" ht="12.75" customHeight="1">
      <c r="A10" s="353"/>
      <c r="B10" s="139"/>
      <c r="C10" s="429"/>
      <c r="D10" s="427"/>
      <c r="E10" s="427"/>
      <c r="F10" s="64"/>
      <c r="G10" s="65"/>
      <c r="H10" s="66"/>
      <c r="I10" s="66"/>
      <c r="J10" s="341"/>
      <c r="K10" s="86"/>
      <c r="L10" s="430"/>
      <c r="M10" s="430"/>
      <c r="N10" s="430"/>
      <c r="O10" s="430"/>
      <c r="P10" s="430"/>
      <c r="Q10" s="353"/>
      <c r="R10" s="353"/>
      <c r="S10" s="353"/>
      <c r="T10" s="353"/>
      <c r="U10" s="353"/>
      <c r="V10" s="353"/>
      <c r="W10" s="353"/>
      <c r="X10" s="353"/>
      <c r="Y10" s="353"/>
      <c r="Z10" s="353"/>
    </row>
    <row r="11" spans="1:26">
      <c r="A11" s="353"/>
      <c r="B11" s="532"/>
      <c r="C11" s="533"/>
      <c r="D11" s="533"/>
      <c r="E11" s="533"/>
      <c r="F11" s="533"/>
      <c r="G11" s="533"/>
      <c r="H11" s="533"/>
      <c r="I11" s="66"/>
      <c r="J11" s="341"/>
      <c r="K11" s="86"/>
      <c r="L11" s="531"/>
      <c r="M11" s="531"/>
      <c r="N11" s="531"/>
      <c r="O11" s="531"/>
      <c r="P11" s="531"/>
      <c r="Q11" s="353"/>
      <c r="R11" s="353"/>
      <c r="S11" s="353"/>
      <c r="T11" s="353"/>
      <c r="U11" s="353"/>
      <c r="V11" s="353"/>
      <c r="W11" s="353"/>
      <c r="X11" s="353"/>
      <c r="Y11" s="353"/>
      <c r="Z11" s="353"/>
    </row>
    <row r="12" spans="1:26" ht="12.75" customHeight="1">
      <c r="A12" s="353"/>
      <c r="B12" s="533"/>
      <c r="C12" s="533"/>
      <c r="D12" s="533"/>
      <c r="E12" s="533"/>
      <c r="F12" s="533"/>
      <c r="G12" s="533"/>
      <c r="H12" s="533"/>
      <c r="I12" s="66"/>
      <c r="J12" s="341"/>
      <c r="K12" s="87"/>
      <c r="L12" s="534"/>
      <c r="M12" s="534"/>
      <c r="N12" s="534"/>
      <c r="O12" s="534"/>
      <c r="P12" s="534"/>
      <c r="Q12" s="353"/>
      <c r="R12" s="353"/>
      <c r="S12" s="353"/>
      <c r="T12" s="353"/>
      <c r="U12" s="353"/>
      <c r="V12" s="353"/>
      <c r="W12" s="353"/>
      <c r="X12" s="353"/>
      <c r="Y12" s="353"/>
      <c r="Z12" s="353"/>
    </row>
    <row r="13" spans="1:26" ht="12.75" customHeight="1">
      <c r="A13" s="353"/>
      <c r="B13" s="431"/>
      <c r="C13" s="431"/>
      <c r="D13" s="431"/>
      <c r="E13" s="431"/>
      <c r="F13" s="431"/>
      <c r="G13" s="431"/>
      <c r="H13" s="431"/>
      <c r="I13" s="66"/>
      <c r="J13" s="341"/>
      <c r="K13" s="87"/>
      <c r="L13" s="432"/>
      <c r="M13" s="432"/>
      <c r="N13" s="432"/>
      <c r="O13" s="432"/>
      <c r="P13" s="432"/>
      <c r="Q13" s="353"/>
      <c r="R13" s="353"/>
      <c r="S13" s="353"/>
      <c r="T13" s="353"/>
      <c r="U13" s="353"/>
      <c r="V13" s="353"/>
      <c r="W13" s="353"/>
      <c r="X13" s="353"/>
      <c r="Y13" s="353"/>
      <c r="Z13" s="353"/>
    </row>
    <row r="14" spans="1:26" ht="12.75" customHeight="1">
      <c r="A14" s="341"/>
      <c r="B14" s="201"/>
      <c r="C14" s="201"/>
      <c r="D14" s="201"/>
      <c r="E14" s="85"/>
      <c r="F14" s="44"/>
      <c r="G14" s="45"/>
      <c r="H14" s="46"/>
      <c r="I14" s="46"/>
      <c r="J14" s="341"/>
      <c r="K14" s="87"/>
      <c r="L14" s="432"/>
      <c r="M14" s="432"/>
      <c r="N14" s="432"/>
      <c r="O14" s="432"/>
      <c r="P14" s="432"/>
      <c r="Q14" s="353"/>
      <c r="R14" s="353"/>
      <c r="S14" s="353"/>
      <c r="T14" s="353"/>
      <c r="U14" s="353"/>
      <c r="V14" s="353"/>
      <c r="W14" s="353"/>
      <c r="X14" s="353"/>
      <c r="Y14" s="353"/>
      <c r="Z14" s="353"/>
    </row>
    <row r="15" spans="1:26">
      <c r="A15" s="341"/>
      <c r="B15" s="426"/>
      <c r="C15" s="426"/>
      <c r="D15" s="505"/>
      <c r="E15" s="426"/>
      <c r="F15" s="535"/>
      <c r="G15" s="426"/>
      <c r="H15" s="426"/>
      <c r="I15" s="42"/>
      <c r="J15" s="341"/>
      <c r="K15" s="86"/>
      <c r="L15" s="534"/>
      <c r="M15" s="534"/>
      <c r="N15" s="534"/>
      <c r="O15" s="534"/>
      <c r="P15" s="534"/>
      <c r="Q15" s="353"/>
      <c r="R15" s="353"/>
      <c r="S15" s="353"/>
      <c r="T15" s="353"/>
      <c r="U15" s="353"/>
      <c r="V15" s="353"/>
      <c r="W15" s="353"/>
      <c r="X15" s="353"/>
      <c r="Y15" s="353"/>
      <c r="Z15" s="353"/>
    </row>
    <row r="16" spans="1:26" ht="15">
      <c r="A16" s="341"/>
      <c r="B16" s="139"/>
      <c r="C16" s="143"/>
      <c r="D16" s="144"/>
      <c r="E16" s="145"/>
      <c r="F16" s="535"/>
      <c r="G16" s="146"/>
      <c r="H16" s="147"/>
      <c r="I16" s="147"/>
      <c r="J16" s="353"/>
      <c r="K16" s="88"/>
      <c r="L16" s="534"/>
      <c r="M16" s="534"/>
      <c r="N16" s="534"/>
      <c r="O16" s="534"/>
      <c r="P16" s="534"/>
      <c r="Q16" s="353"/>
      <c r="R16" s="353"/>
      <c r="S16" s="353"/>
      <c r="T16" s="353"/>
      <c r="U16" s="353"/>
      <c r="V16" s="353"/>
      <c r="W16" s="353"/>
      <c r="X16" s="353"/>
      <c r="Y16" s="353"/>
      <c r="Z16" s="353"/>
    </row>
    <row r="17" spans="1:16" ht="15">
      <c r="A17" s="341"/>
      <c r="B17" s="527"/>
      <c r="C17" s="527"/>
      <c r="D17" s="527"/>
      <c r="E17" s="527"/>
      <c r="F17" s="527"/>
      <c r="G17" s="527"/>
      <c r="H17" s="527"/>
      <c r="I17" s="148"/>
      <c r="J17" s="353"/>
      <c r="K17" s="428"/>
      <c r="L17" s="526"/>
      <c r="M17" s="526"/>
      <c r="N17" s="526"/>
      <c r="O17" s="526"/>
      <c r="P17" s="526"/>
    </row>
    <row r="18" spans="1:16">
      <c r="A18" s="353"/>
      <c r="B18" s="63"/>
      <c r="C18" s="63"/>
      <c r="D18" s="63"/>
      <c r="E18" s="63"/>
      <c r="F18" s="63"/>
      <c r="G18" s="63"/>
      <c r="H18" s="341"/>
      <c r="I18" s="341"/>
      <c r="J18" s="353"/>
      <c r="K18" s="341"/>
      <c r="L18" s="341"/>
      <c r="M18" s="341"/>
      <c r="N18" s="341"/>
      <c r="O18" s="341"/>
      <c r="P18" s="341"/>
    </row>
    <row r="19" spans="1:16" ht="25.5" customHeight="1">
      <c r="A19" s="353"/>
      <c r="B19" s="535"/>
      <c r="C19" s="426"/>
      <c r="D19" s="426"/>
      <c r="E19" s="426"/>
      <c r="F19" s="426"/>
      <c r="G19" s="426"/>
      <c r="H19" s="341"/>
      <c r="I19" s="341"/>
      <c r="J19" s="341"/>
      <c r="K19" s="141"/>
      <c r="L19" s="537"/>
      <c r="M19" s="537"/>
      <c r="N19" s="537"/>
      <c r="O19" s="537"/>
      <c r="P19" s="537"/>
    </row>
    <row r="20" spans="1:16" ht="25.5" customHeight="1">
      <c r="A20" s="353"/>
      <c r="B20" s="535"/>
      <c r="C20" s="149"/>
      <c r="D20" s="150"/>
      <c r="E20" s="149"/>
      <c r="F20" s="151"/>
      <c r="G20" s="152"/>
      <c r="H20" s="341"/>
      <c r="I20" s="341"/>
      <c r="J20" s="341"/>
      <c r="K20" s="139"/>
      <c r="L20" s="538"/>
      <c r="M20" s="538"/>
      <c r="N20" s="538"/>
      <c r="O20" s="538"/>
      <c r="P20" s="538"/>
    </row>
    <row r="21" spans="1:16" ht="25.5" customHeight="1">
      <c r="A21" s="353"/>
      <c r="B21" s="535"/>
      <c r="C21" s="149"/>
      <c r="D21" s="150"/>
      <c r="E21" s="149"/>
      <c r="F21" s="151"/>
      <c r="G21" s="152"/>
      <c r="H21" s="341"/>
      <c r="I21" s="341"/>
      <c r="J21" s="341"/>
      <c r="K21" s="139"/>
      <c r="L21" s="539"/>
      <c r="M21" s="539"/>
      <c r="N21" s="539"/>
      <c r="O21" s="539"/>
      <c r="P21" s="539"/>
    </row>
    <row r="22" spans="1:16" ht="25.5" customHeight="1">
      <c r="A22" s="353"/>
      <c r="B22" s="535"/>
      <c r="C22" s="149"/>
      <c r="D22" s="150"/>
      <c r="E22" s="149"/>
      <c r="F22" s="151"/>
      <c r="G22" s="152"/>
      <c r="H22" s="341"/>
      <c r="I22" s="341"/>
      <c r="J22" s="341"/>
      <c r="K22" s="139"/>
      <c r="L22" s="536"/>
      <c r="M22" s="536"/>
      <c r="N22" s="536"/>
      <c r="O22" s="536"/>
      <c r="P22" s="536"/>
    </row>
    <row r="23" spans="1:16" ht="25.5" customHeight="1">
      <c r="A23" s="353"/>
      <c r="B23" s="535"/>
      <c r="C23" s="149"/>
      <c r="D23" s="150"/>
      <c r="E23" s="149"/>
      <c r="F23" s="151"/>
      <c r="G23" s="152"/>
      <c r="H23" s="341"/>
      <c r="I23" s="341"/>
      <c r="J23" s="341"/>
      <c r="K23" s="139"/>
      <c r="L23" s="536"/>
      <c r="M23" s="536"/>
      <c r="N23" s="536"/>
      <c r="O23" s="536"/>
      <c r="P23" s="536"/>
    </row>
    <row r="24" spans="1:16" ht="25.5" customHeight="1">
      <c r="A24" s="353"/>
      <c r="B24" s="535"/>
      <c r="C24" s="149"/>
      <c r="D24" s="150"/>
      <c r="E24" s="149"/>
      <c r="F24" s="151"/>
      <c r="G24" s="152"/>
      <c r="H24" s="341"/>
      <c r="I24" s="341"/>
      <c r="J24" s="341"/>
      <c r="K24" s="139"/>
      <c r="L24" s="536"/>
      <c r="M24" s="536"/>
      <c r="N24" s="536"/>
      <c r="O24" s="536"/>
      <c r="P24" s="536"/>
    </row>
    <row r="25" spans="1:16" ht="25.5" customHeight="1">
      <c r="A25" s="353"/>
      <c r="B25" s="535"/>
      <c r="C25" s="149"/>
      <c r="D25" s="150"/>
      <c r="E25" s="149"/>
      <c r="F25" s="152"/>
      <c r="G25" s="152"/>
      <c r="H25" s="341"/>
      <c r="I25" s="341"/>
      <c r="J25" s="341"/>
      <c r="K25" s="139"/>
      <c r="L25" s="536"/>
      <c r="M25" s="536"/>
      <c r="N25" s="536"/>
      <c r="O25" s="536"/>
      <c r="P25" s="536"/>
    </row>
    <row r="26" spans="1:16" ht="25.5" customHeight="1">
      <c r="A26" s="353"/>
      <c r="B26" s="62"/>
      <c r="C26" s="341"/>
      <c r="D26" s="341"/>
      <c r="E26" s="341"/>
      <c r="F26" s="341"/>
      <c r="G26" s="341"/>
      <c r="H26" s="341"/>
      <c r="I26" s="341"/>
      <c r="J26" s="341"/>
      <c r="K26" s="139"/>
      <c r="L26" s="536"/>
      <c r="M26" s="536"/>
      <c r="N26" s="536"/>
      <c r="O26" s="536"/>
      <c r="P26" s="536"/>
    </row>
    <row r="27" spans="1:16" ht="25.5" customHeight="1">
      <c r="A27" s="353"/>
      <c r="B27" s="83"/>
      <c r="C27" s="40"/>
      <c r="D27" s="40"/>
      <c r="E27" s="40"/>
      <c r="F27" s="40"/>
      <c r="G27" s="40"/>
      <c r="H27" s="341"/>
      <c r="I27" s="341"/>
      <c r="J27" s="341"/>
      <c r="K27" s="139"/>
      <c r="L27" s="536"/>
      <c r="M27" s="536"/>
      <c r="N27" s="536"/>
      <c r="O27" s="536"/>
      <c r="P27" s="536"/>
    </row>
    <row r="28" spans="1:16" ht="25.5" customHeight="1">
      <c r="A28" s="353"/>
      <c r="B28" s="353"/>
      <c r="C28" s="353"/>
      <c r="D28" s="353"/>
      <c r="E28" s="353"/>
      <c r="F28" s="353"/>
      <c r="G28" s="353"/>
      <c r="H28" s="353"/>
      <c r="I28" s="353"/>
      <c r="J28" s="341"/>
      <c r="K28" s="140"/>
      <c r="L28" s="536"/>
      <c r="M28" s="536"/>
      <c r="N28" s="536"/>
      <c r="O28" s="536"/>
      <c r="P28" s="536"/>
    </row>
    <row r="29" spans="1:16" ht="25.5" customHeight="1">
      <c r="A29" s="353"/>
      <c r="B29" s="353"/>
      <c r="C29" s="353"/>
      <c r="D29" s="353"/>
      <c r="E29" s="353"/>
      <c r="F29" s="353"/>
      <c r="G29" s="353"/>
      <c r="H29" s="353"/>
      <c r="I29" s="353"/>
      <c r="J29" s="341"/>
      <c r="K29" s="140"/>
      <c r="L29" s="536"/>
      <c r="M29" s="536"/>
      <c r="N29" s="536"/>
      <c r="O29" s="536"/>
      <c r="P29" s="536"/>
    </row>
    <row r="30" spans="1:16" ht="25.5" customHeight="1">
      <c r="A30" s="153">
        <v>1</v>
      </c>
      <c r="B30" s="153" t="str">
        <f>INDEX(Z7:Z8,A30)</f>
        <v>Polski</v>
      </c>
      <c r="C30" s="353"/>
      <c r="D30" s="353"/>
      <c r="E30" s="353"/>
      <c r="F30" s="353"/>
      <c r="G30" s="353"/>
      <c r="H30" s="353"/>
      <c r="I30" s="353"/>
      <c r="J30" s="341"/>
      <c r="K30" s="83"/>
      <c r="L30" s="83"/>
      <c r="M30" s="341"/>
      <c r="N30" s="341"/>
      <c r="O30" s="341"/>
      <c r="P30" s="341"/>
    </row>
    <row r="31" spans="1:16" ht="26.25" customHeight="1">
      <c r="A31" s="353"/>
      <c r="B31" s="353"/>
      <c r="C31" s="353"/>
      <c r="D31" s="353"/>
      <c r="E31" s="353"/>
      <c r="F31" s="353"/>
      <c r="G31" s="353"/>
      <c r="H31" s="353"/>
      <c r="I31" s="353"/>
      <c r="J31" s="341"/>
      <c r="K31" s="341"/>
      <c r="L31" s="341"/>
      <c r="M31" s="341"/>
      <c r="N31" s="341"/>
      <c r="O31" s="341"/>
      <c r="P31" s="341"/>
    </row>
    <row r="32" spans="1:16">
      <c r="A32" s="353"/>
      <c r="B32" s="353"/>
      <c r="C32" s="353"/>
      <c r="D32" s="353"/>
      <c r="E32" s="353"/>
      <c r="F32" s="353"/>
      <c r="G32" s="353"/>
      <c r="H32" s="353"/>
      <c r="I32" s="353"/>
      <c r="J32" s="341"/>
      <c r="K32" s="341"/>
      <c r="L32" s="341"/>
      <c r="M32" s="341"/>
      <c r="N32" s="341"/>
      <c r="O32" s="341"/>
      <c r="P32" s="341"/>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7</xdr:row>
                    <xdr:rowOff>9525</xdr:rowOff>
                  </from>
                  <to>
                    <xdr:col>4</xdr:col>
                    <xdr:colOff>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354"/>
      <c r="B1" s="354"/>
      <c r="C1" s="354"/>
      <c r="D1" s="354"/>
      <c r="E1" s="354"/>
      <c r="F1" s="354"/>
      <c r="G1" s="354"/>
      <c r="H1" s="354"/>
      <c r="I1" s="354"/>
      <c r="J1" s="354"/>
      <c r="K1" s="354"/>
      <c r="L1" s="354"/>
      <c r="M1" s="354"/>
      <c r="N1" s="354"/>
      <c r="O1" s="354"/>
      <c r="P1" s="354"/>
      <c r="Q1" s="354"/>
      <c r="R1" s="354"/>
    </row>
    <row r="2" spans="1:18" ht="15" customHeight="1">
      <c r="A2" s="12"/>
      <c r="B2" s="12"/>
      <c r="C2" s="12"/>
      <c r="D2" s="12"/>
      <c r="E2" s="12"/>
      <c r="F2" s="12"/>
      <c r="G2" s="12"/>
      <c r="H2" s="12"/>
      <c r="I2" s="12"/>
      <c r="J2" s="1022"/>
      <c r="K2" s="1022"/>
      <c r="L2" s="1022"/>
      <c r="M2" s="1022"/>
      <c r="N2" s="92"/>
      <c r="O2" s="92"/>
      <c r="P2" s="92"/>
      <c r="Q2" s="92"/>
      <c r="R2" s="92"/>
    </row>
    <row r="3" spans="1:18" ht="15" customHeight="1">
      <c r="A3" s="12"/>
      <c r="B3" s="12"/>
      <c r="C3" s="12"/>
      <c r="D3" s="12"/>
      <c r="E3" s="12"/>
      <c r="F3" s="12"/>
      <c r="G3" s="12"/>
      <c r="H3" s="12"/>
      <c r="I3" s="12"/>
      <c r="J3" s="1022"/>
      <c r="K3" s="1022"/>
      <c r="L3" s="1022"/>
      <c r="M3" s="1022"/>
      <c r="N3" s="92"/>
      <c r="O3" s="92"/>
      <c r="P3" s="92"/>
      <c r="Q3" s="92"/>
      <c r="R3" s="92"/>
    </row>
    <row r="4" spans="1:18">
      <c r="A4" s="12"/>
      <c r="B4" s="12"/>
      <c r="C4" s="12"/>
      <c r="D4" s="12"/>
      <c r="E4" s="12"/>
      <c r="F4" s="12"/>
      <c r="G4" s="12"/>
      <c r="H4" s="12"/>
      <c r="I4" s="12"/>
      <c r="J4" s="1022"/>
      <c r="K4" s="1022"/>
      <c r="L4" s="1022"/>
      <c r="M4" s="1022"/>
      <c r="N4" s="92"/>
      <c r="O4" s="92"/>
      <c r="P4" s="92"/>
      <c r="Q4" s="92"/>
      <c r="R4" s="92"/>
    </row>
    <row r="5" spans="1:18">
      <c r="A5" s="12"/>
      <c r="B5" s="12"/>
      <c r="C5" s="12"/>
      <c r="D5" s="12"/>
      <c r="E5" s="12"/>
      <c r="F5" s="12"/>
      <c r="G5" s="12"/>
      <c r="H5" s="12"/>
      <c r="I5" s="12"/>
      <c r="J5" s="92"/>
      <c r="K5" s="92"/>
      <c r="L5" s="92"/>
      <c r="M5" s="92"/>
      <c r="N5" s="92"/>
      <c r="O5" s="92"/>
      <c r="P5" s="92"/>
      <c r="Q5" s="92"/>
      <c r="R5" s="92"/>
    </row>
    <row r="6" spans="1:18">
      <c r="A6" s="12"/>
      <c r="B6" s="12"/>
      <c r="C6" s="12"/>
      <c r="D6" s="12"/>
      <c r="E6" s="12"/>
      <c r="F6" s="12"/>
      <c r="G6" s="12"/>
      <c r="H6" s="12"/>
      <c r="I6" s="12"/>
      <c r="J6" s="12"/>
      <c r="K6" s="12"/>
      <c r="L6" s="12"/>
      <c r="M6" s="12"/>
      <c r="N6" s="12"/>
      <c r="O6" s="12"/>
      <c r="P6" s="12"/>
      <c r="Q6" s="354"/>
      <c r="R6" s="354"/>
    </row>
    <row r="7" spans="1:18">
      <c r="A7" s="12"/>
      <c r="B7" s="12"/>
      <c r="C7" s="12"/>
      <c r="D7" s="12"/>
      <c r="E7" s="12"/>
      <c r="F7" s="12"/>
      <c r="G7" s="12"/>
      <c r="H7" s="12"/>
      <c r="I7" s="12"/>
      <c r="J7" s="12"/>
      <c r="K7" s="12"/>
      <c r="L7" s="12"/>
      <c r="M7" s="12"/>
      <c r="N7" s="12"/>
      <c r="O7" s="12"/>
      <c r="P7" s="12"/>
      <c r="Q7" s="354"/>
      <c r="R7" s="354"/>
    </row>
    <row r="8" spans="1:18">
      <c r="A8" s="12"/>
      <c r="B8" s="12"/>
      <c r="C8" s="12"/>
      <c r="D8" s="1019" t="str">
        <f>IF('Język - Language'!$B$30="Polski","Regulamin sprzedaży reklamy","General rules of advertisement sales")</f>
        <v>Regulamin sprzedaży reklamy</v>
      </c>
      <c r="E8" s="1019"/>
      <c r="F8" s="1019"/>
      <c r="G8" s="1020" t="s">
        <v>201</v>
      </c>
      <c r="H8" s="1021"/>
      <c r="I8" s="1021"/>
      <c r="J8" s="1021"/>
      <c r="K8" s="1021"/>
      <c r="L8" s="1021"/>
      <c r="M8" s="1021"/>
      <c r="N8" s="1021"/>
      <c r="O8" s="1021"/>
      <c r="P8" s="1021"/>
      <c r="Q8" s="354"/>
      <c r="R8" s="354"/>
    </row>
    <row r="9" spans="1:18">
      <c r="A9" s="12"/>
      <c r="B9" s="12"/>
      <c r="C9" s="12"/>
      <c r="D9" s="31"/>
      <c r="E9" s="31"/>
      <c r="F9" s="31"/>
      <c r="G9" s="32"/>
      <c r="H9" s="32"/>
      <c r="I9" s="32"/>
      <c r="J9" s="32"/>
      <c r="K9" s="32"/>
      <c r="L9" s="32"/>
      <c r="M9" s="32"/>
      <c r="N9" s="32"/>
      <c r="O9" s="32"/>
      <c r="P9" s="32"/>
      <c r="Q9" s="354"/>
      <c r="R9" s="354"/>
    </row>
    <row r="10" spans="1:18" ht="57" customHeight="1">
      <c r="A10" s="12"/>
      <c r="B10" s="12"/>
      <c r="C10" s="12"/>
      <c r="D10" s="1025" t="str">
        <f>IF('Język - Language'!$B$30="Polski","Specyfikacja techniczna do pobrania na serwisie Reklama.wp.pl","You can download our technical specification from reklama.wp.pl")</f>
        <v>Specyfikacja techniczna do pobrania na serwisie Reklama.wp.pl</v>
      </c>
      <c r="E10" s="1025"/>
      <c r="F10" s="1025"/>
      <c r="G10" s="1020" t="s">
        <v>201</v>
      </c>
      <c r="H10" s="1021"/>
      <c r="I10" s="1021"/>
      <c r="J10" s="1021"/>
      <c r="K10" s="1021"/>
      <c r="L10" s="1021"/>
      <c r="M10" s="1021"/>
      <c r="N10" s="1021"/>
      <c r="O10" s="1021"/>
      <c r="P10" s="32"/>
      <c r="Q10" s="354"/>
      <c r="R10" s="354"/>
    </row>
    <row r="11" spans="1:18" s="13" customFormat="1" ht="47.25" customHeight="1">
      <c r="A11" s="354"/>
      <c r="B11" s="354"/>
      <c r="C11" s="354"/>
      <c r="D11" s="354"/>
      <c r="E11" s="354"/>
      <c r="F11" s="354"/>
      <c r="G11" s="354"/>
      <c r="H11" s="354"/>
      <c r="I11" s="354"/>
      <c r="J11" s="354"/>
      <c r="K11" s="354"/>
      <c r="L11" s="354"/>
      <c r="M11" s="354"/>
      <c r="N11" s="354"/>
      <c r="O11" s="354"/>
      <c r="P11" s="354"/>
      <c r="Q11" s="354"/>
      <c r="R11" s="354"/>
    </row>
    <row r="12" spans="1:18" s="13" customFormat="1">
      <c r="A12" s="354"/>
      <c r="B12" s="354"/>
      <c r="C12" s="354"/>
      <c r="D12" s="494"/>
      <c r="E12" s="494"/>
      <c r="F12" s="494"/>
      <c r="G12" s="1026"/>
      <c r="H12" s="1026"/>
      <c r="I12" s="1026"/>
      <c r="J12" s="1026"/>
      <c r="K12" s="1026"/>
      <c r="L12" s="1026"/>
      <c r="M12" s="1026"/>
      <c r="N12" s="1026"/>
      <c r="O12" s="1026"/>
      <c r="P12" s="354"/>
      <c r="Q12" s="354"/>
      <c r="R12" s="354"/>
    </row>
    <row r="13" spans="1:18" s="13" customFormat="1">
      <c r="A13" s="354"/>
      <c r="B13" s="354"/>
      <c r="C13" s="354"/>
      <c r="D13" s="14"/>
      <c r="E13" s="14"/>
      <c r="F13" s="14"/>
      <c r="G13" s="354"/>
      <c r="H13" s="354"/>
      <c r="I13" s="354"/>
      <c r="J13" s="354"/>
      <c r="K13" s="354"/>
      <c r="L13" s="354"/>
      <c r="M13" s="354"/>
      <c r="N13" s="354"/>
      <c r="O13" s="354"/>
      <c r="P13" s="354"/>
      <c r="Q13" s="354"/>
      <c r="R13" s="354"/>
    </row>
    <row r="14" spans="1:18" s="13" customFormat="1">
      <c r="A14" s="354"/>
      <c r="B14" s="354"/>
      <c r="C14" s="354"/>
      <c r="D14" s="1027"/>
      <c r="E14" s="1027"/>
      <c r="F14" s="1027"/>
      <c r="G14" s="1026"/>
      <c r="H14" s="1026"/>
      <c r="I14" s="1026"/>
      <c r="J14" s="1026"/>
      <c r="K14" s="1026"/>
      <c r="L14" s="1026"/>
      <c r="M14" s="1026"/>
      <c r="N14" s="1026"/>
      <c r="O14" s="1026"/>
      <c r="P14" s="354"/>
      <c r="Q14" s="354"/>
      <c r="R14" s="354"/>
    </row>
    <row r="15" spans="1:18" s="13" customFormat="1">
      <c r="A15" s="354"/>
      <c r="B15" s="354"/>
      <c r="C15" s="354"/>
      <c r="D15" s="354"/>
      <c r="E15"/>
      <c r="F15" s="354"/>
      <c r="G15" s="1023"/>
      <c r="H15" s="1024"/>
      <c r="I15" s="1024"/>
      <c r="J15" s="1024"/>
      <c r="K15" s="1024"/>
      <c r="L15" s="1024"/>
      <c r="M15" s="1024"/>
      <c r="N15" s="1024"/>
      <c r="O15" s="1024"/>
      <c r="P15" s="354"/>
      <c r="Q15" s="354"/>
      <c r="R15" s="354"/>
    </row>
    <row r="16" spans="1:18" s="13" customFormat="1">
      <c r="A16" s="354"/>
      <c r="B16" s="354"/>
      <c r="C16" s="354"/>
      <c r="D16" s="354"/>
      <c r="E16" s="354"/>
      <c r="F16" s="354"/>
      <c r="G16" s="354"/>
      <c r="H16" s="354"/>
      <c r="I16" s="354"/>
      <c r="J16" s="354"/>
      <c r="K16" s="354"/>
      <c r="L16" s="354"/>
      <c r="M16" s="354"/>
      <c r="N16" s="354"/>
      <c r="O16" s="354"/>
      <c r="P16" s="354"/>
      <c r="Q16" s="354"/>
      <c r="R16" s="354"/>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08"/>
  <sheetViews>
    <sheetView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83" customWidth="1"/>
    <col min="5" max="5" width="18.5703125" style="134" customWidth="1"/>
    <col min="6" max="6" width="18.5703125" style="2" customWidth="1"/>
    <col min="7" max="7" width="18.5703125" style="283" customWidth="1"/>
    <col min="8" max="8" width="18.5703125" style="134" customWidth="1"/>
    <col min="9" max="10" width="18.5703125" style="2" customWidth="1"/>
    <col min="11" max="12" width="16.42578125" style="2" customWidth="1"/>
    <col min="13" max="13" width="14.5703125" style="2" customWidth="1"/>
    <col min="14" max="16384" width="28.85546875" style="2"/>
  </cols>
  <sheetData>
    <row r="1" spans="1:13" ht="12.75" customHeight="1">
      <c r="A1"/>
      <c r="B1" s="353"/>
      <c r="C1" s="353"/>
      <c r="D1" s="353"/>
      <c r="E1" s="353"/>
      <c r="F1" s="353"/>
      <c r="G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23"/>
      <c r="I1" s="523"/>
      <c r="J1" s="523"/>
      <c r="K1" s="355"/>
      <c r="L1" s="353"/>
      <c r="M1" s="353"/>
    </row>
    <row r="2" spans="1:13" ht="12.75" customHeight="1">
      <c r="A2" s="353"/>
      <c r="B2" s="353"/>
      <c r="C2" s="355"/>
      <c r="D2" s="355"/>
      <c r="E2" s="355"/>
      <c r="F2" s="355"/>
      <c r="G2" s="523"/>
      <c r="H2" s="523"/>
      <c r="I2" s="523"/>
      <c r="J2" s="523"/>
      <c r="K2" s="355"/>
      <c r="L2" s="353"/>
      <c r="M2" s="353"/>
    </row>
    <row r="3" spans="1:13" ht="12.75" customHeight="1">
      <c r="A3" s="353"/>
      <c r="B3" s="353"/>
      <c r="C3" s="355"/>
      <c r="D3" s="355"/>
      <c r="E3" s="355"/>
      <c r="F3" s="355"/>
      <c r="G3" s="523"/>
      <c r="H3" s="523"/>
      <c r="I3" s="523"/>
      <c r="J3" s="523"/>
      <c r="K3" s="355"/>
      <c r="L3" s="353"/>
      <c r="M3" s="353"/>
    </row>
    <row r="4" spans="1:13" s="35" customFormat="1" ht="12.75" customHeight="1">
      <c r="A4" s="356"/>
      <c r="B4" s="36"/>
      <c r="C4" s="36" t="str">
        <f>IF('Język - Language'!$B$30="Polski","         Reklama na wielu ekranach","         Multiscreen. Cross-Device")</f>
        <v xml:space="preserve">         Reklama na wielu ekranach</v>
      </c>
      <c r="D4" s="36"/>
      <c r="E4" s="36"/>
      <c r="F4" s="356"/>
      <c r="G4" s="356"/>
      <c r="H4" s="356"/>
      <c r="I4" s="356"/>
      <c r="J4" s="340" t="str">
        <f>IF('Język - Language'!$B$30="Polski","PL","EN")</f>
        <v>PL</v>
      </c>
      <c r="K4" s="356"/>
      <c r="L4" s="356"/>
      <c r="M4" s="356"/>
    </row>
    <row r="5" spans="1:13" ht="12.75" customHeight="1">
      <c r="A5" s="353"/>
      <c r="B5" s="353"/>
      <c r="C5" s="353"/>
      <c r="D5" s="353"/>
      <c r="E5" s="353"/>
      <c r="F5" s="353"/>
      <c r="G5" s="353"/>
      <c r="H5" s="353"/>
      <c r="I5" s="353"/>
      <c r="J5" s="353"/>
      <c r="K5" s="353"/>
      <c r="L5" s="353"/>
      <c r="M5" s="353"/>
    </row>
    <row r="6" spans="1:13" s="59" customFormat="1" ht="12.75" customHeight="1">
      <c r="A6" s="353"/>
      <c r="B6" s="353"/>
      <c r="C6" s="353"/>
      <c r="D6" s="353"/>
      <c r="E6" s="353"/>
      <c r="F6" s="353"/>
      <c r="G6" s="353"/>
      <c r="H6" s="353"/>
      <c r="I6" s="353"/>
      <c r="J6" s="353"/>
      <c r="K6" s="353"/>
      <c r="L6" s="353"/>
      <c r="M6" s="353"/>
    </row>
    <row r="7" spans="1:13" s="58" customFormat="1" ht="12.75" customHeight="1">
      <c r="A7" s="341"/>
      <c r="B7" s="341"/>
      <c r="C7" s="648" t="str">
        <f>IF('Język - Language'!$B$30="Polski","        WP STRONA GŁÓWNA (DESKTOP/TABLET)","        WP HOME PAGE (DESKTOP/TABLET)")</f>
        <v xml:space="preserve">        WP STRONA GŁÓWNA (DESKTOP/TABLET)</v>
      </c>
      <c r="D7" s="648"/>
      <c r="E7" s="648"/>
      <c r="F7" s="648" t="str">
        <f>IF('Język - Language'!$B$30="Polski","WP STRONA GŁÓWNA (MOBILE¹)","WP HOME PAGE (MOBILE¹)")</f>
        <v>WP STRONA GŁÓWNA (MOBILE¹)</v>
      </c>
      <c r="G7" s="648"/>
      <c r="H7" s="648"/>
      <c r="I7" s="648" t="str">
        <f>IF('Język - Language'!$B$30="Polski","CENA RC","PRICE")</f>
        <v>CENA RC</v>
      </c>
      <c r="J7" s="655"/>
      <c r="K7" s="353"/>
      <c r="L7" s="353"/>
      <c r="M7" s="353"/>
    </row>
    <row r="8" spans="1:13" s="58" customFormat="1" ht="12.75" customHeight="1">
      <c r="A8"/>
      <c r="B8" s="341"/>
      <c r="C8" s="649"/>
      <c r="D8" s="649"/>
      <c r="E8" s="649"/>
      <c r="F8" s="649"/>
      <c r="G8" s="649"/>
      <c r="H8" s="649"/>
      <c r="I8" s="442" t="str">
        <f>IF('Język - Language'!$B$30="Polski","styczeń-październik","Jan-Oct")</f>
        <v>styczeń-październik</v>
      </c>
      <c r="J8" s="285" t="str">
        <f>IF('Język - Language'!$B$30="Polski","listopad-grudzień","Nov-Dec")</f>
        <v>listopad-grudzień</v>
      </c>
      <c r="K8" s="341"/>
      <c r="L8" s="341"/>
      <c r="M8" s="341"/>
    </row>
    <row r="9" spans="1:13" s="82" customFormat="1" ht="25.5" customHeight="1">
      <c r="A9" s="353"/>
      <c r="B9" s="34"/>
      <c r="C9" s="560" t="str">
        <f>IF('Język - Language'!$B$30="Polski","Panel Premium FF","Panel Premium FF")</f>
        <v>Panel Premium FF</v>
      </c>
      <c r="D9" s="647"/>
      <c r="E9" s="561"/>
      <c r="F9" s="666" t="str">
        <f>IF('Język - Language'!$B$30="Polski","nd","n/a")</f>
        <v>nd</v>
      </c>
      <c r="G9" s="667"/>
      <c r="H9" s="668"/>
      <c r="I9" s="183">
        <v>385000</v>
      </c>
      <c r="J9" s="184">
        <v>450000</v>
      </c>
      <c r="K9" s="341"/>
      <c r="L9" s="341"/>
      <c r="M9" s="341"/>
    </row>
    <row r="10" spans="1:13" s="353" customFormat="1" ht="25.5" customHeight="1">
      <c r="B10" s="34"/>
      <c r="C10" s="652" t="s">
        <v>203</v>
      </c>
      <c r="D10" s="653"/>
      <c r="E10" s="654"/>
      <c r="F10" s="566" t="s">
        <v>203</v>
      </c>
      <c r="G10" s="567"/>
      <c r="H10" s="568"/>
      <c r="I10" s="507">
        <v>380000</v>
      </c>
      <c r="J10" s="506">
        <v>450000</v>
      </c>
      <c r="K10" s="341"/>
      <c r="L10" s="341"/>
      <c r="M10" s="341"/>
    </row>
    <row r="11" spans="1:13" s="353" customFormat="1" ht="25.5" customHeight="1">
      <c r="B11" s="34"/>
      <c r="C11" s="583"/>
      <c r="D11" s="584"/>
      <c r="E11" s="585"/>
      <c r="F11" s="566" t="str">
        <f>IF('Język - Language'!$B$30="Polski","nd","n/a")</f>
        <v>nd</v>
      </c>
      <c r="G11" s="567"/>
      <c r="H11" s="568"/>
      <c r="I11" s="507">
        <v>270000</v>
      </c>
      <c r="J11" s="506">
        <v>320000</v>
      </c>
      <c r="K11" s="341"/>
      <c r="L11" s="341"/>
      <c r="M11" s="341"/>
    </row>
    <row r="12" spans="1:13" s="58" customFormat="1" ht="25.5" customHeight="1">
      <c r="A12" s="353"/>
      <c r="B12" s="572" t="s">
        <v>5</v>
      </c>
      <c r="C12" s="540" t="str">
        <f>IF('Język - Language'!$B$30="Polski","Double Billboard lub Wideboard 3/uu","Double Billboard or Wideboard 3/uu")</f>
        <v>Double Billboard lub Wideboard 3/uu</v>
      </c>
      <c r="D12" s="541"/>
      <c r="E12" s="546"/>
      <c r="F12" s="566" t="str">
        <f>IF('Język - Language'!$B$30="Polski","Banner górny 3/uu","Upper Banner 3/uu")</f>
        <v>Banner górny 3/uu</v>
      </c>
      <c r="G12" s="567"/>
      <c r="H12" s="568"/>
      <c r="I12" s="447">
        <v>570000</v>
      </c>
      <c r="J12" s="185">
        <v>680000</v>
      </c>
      <c r="K12" s="341"/>
      <c r="L12" s="341"/>
      <c r="M12" s="341"/>
    </row>
    <row r="13" spans="1:13" s="120" customFormat="1" ht="25.5" customHeight="1">
      <c r="A13" s="353"/>
      <c r="B13" s="572"/>
      <c r="C13" s="540" t="str">
        <f>IF('Język - Language'!$B$30="Polski","Gigaboard 1/uu + Mega Double Billboard 2/uu","Gigaboard 1/uu + Mega Double Billboard 2/uu")</f>
        <v>Gigaboard 1/uu + Mega Double Billboard 2/uu</v>
      </c>
      <c r="D13" s="541"/>
      <c r="E13" s="546"/>
      <c r="F13" s="566" t="str">
        <f>IF('Język - Language'!$B$30="Polski","Banner skalowany XL 1/uu + Banner skalowany 2/uu","Adjusted Banner XL 1/uu + Adjusted Banner 2/uu")</f>
        <v>Banner skalowany XL 1/uu + Banner skalowany 2/uu</v>
      </c>
      <c r="G13" s="567"/>
      <c r="H13" s="568"/>
      <c r="I13" s="447">
        <v>770000</v>
      </c>
      <c r="J13" s="185">
        <v>925000</v>
      </c>
      <c r="K13" s="341"/>
      <c r="L13" s="341"/>
      <c r="M13" s="341"/>
    </row>
    <row r="14" spans="1:13" s="96" customFormat="1" ht="25.5" customHeight="1">
      <c r="A14" s="353"/>
      <c r="B14" s="572"/>
      <c r="C14" s="540" t="str">
        <f>IF('Język - Language'!$B$30="Polski","Screening 1/uu + DBB lub Wideboard 3/uu (tablet: tylko górny format)","Screening 1/uu + DBB or Wideboard 3/uu (tablet:only upper banner)")</f>
        <v>Screening 1/uu + DBB lub Wideboard 3/uu (tablet: tylko górny format)</v>
      </c>
      <c r="D14" s="541"/>
      <c r="E14" s="546"/>
      <c r="F14" s="566" t="str">
        <f>IF('Język - Language'!$B$30="Polski","Screening lub Banner slakowany 1/uu + Banner górny 3/uu ","Screening or Adjusted Banner 1/uu + Upper Banner 3/uu ")</f>
        <v xml:space="preserve">Screening lub Banner slakowany 1/uu + Banner górny 3/uu </v>
      </c>
      <c r="G14" s="567"/>
      <c r="H14" s="568"/>
      <c r="I14" s="447">
        <v>630000</v>
      </c>
      <c r="J14" s="185">
        <v>750000</v>
      </c>
      <c r="K14" s="341"/>
      <c r="L14" s="341"/>
      <c r="M14" s="341"/>
    </row>
    <row r="15" spans="1:13" s="96" customFormat="1" ht="25.5" customHeight="1">
      <c r="A15" s="353"/>
      <c r="B15" s="572"/>
      <c r="C15" s="652" t="str">
        <f>IF('Język - Language'!$B$30="Polski","Screening 3/uu + DBB lub Wideboard 3/uu (tablet: tylko górny format)","Screening 3/uu + DBB lub Wideboard 3/uu (tablet:only upper banner)")</f>
        <v>Screening 3/uu + DBB lub Wideboard 3/uu (tablet: tylko górny format)</v>
      </c>
      <c r="D15" s="653"/>
      <c r="E15" s="654"/>
      <c r="F15" s="609" t="str">
        <f>IF('Język - Language'!$B$30="Polski","Screening 3/uu","Screening 3/uu")</f>
        <v>Screening 3/uu</v>
      </c>
      <c r="G15" s="610"/>
      <c r="H15" s="611"/>
      <c r="I15" s="631">
        <v>700000</v>
      </c>
      <c r="J15" s="650">
        <v>840000</v>
      </c>
      <c r="K15" s="341"/>
      <c r="L15" s="341"/>
      <c r="M15" s="341"/>
    </row>
    <row r="16" spans="1:13" s="58" customFormat="1" ht="25.5" customHeight="1">
      <c r="A16" s="353"/>
      <c r="B16" s="572"/>
      <c r="C16" s="583" t="str">
        <f>IF('Język - Language'!$B$30="Polski","VideoBackLayer 1/uu + DBB lub Wideboard 3/uu","VideoBackLayer 1/uu + DBB lub Wideboard 3/uu")</f>
        <v>VideoBackLayer 1/uu + DBB lub Wideboard 3/uu</v>
      </c>
      <c r="D16" s="584"/>
      <c r="E16" s="585"/>
      <c r="F16" s="612"/>
      <c r="G16" s="613"/>
      <c r="H16" s="614"/>
      <c r="I16" s="632"/>
      <c r="J16" s="651"/>
      <c r="K16" s="341"/>
      <c r="L16" s="341"/>
      <c r="M16" s="341"/>
    </row>
    <row r="17" spans="1:13" s="131" customFormat="1" ht="25.5" customHeight="1">
      <c r="A17" s="353"/>
      <c r="B17" s="572"/>
      <c r="C17" s="540" t="str">
        <f>IF('Język - Language'!$B$30="Polski","Welcome Screen 1/uu + DBB lub Wideboard 3/uu","Welcome Screen 1/uu + DBB lub Wideboard 3/uu")</f>
        <v>Welcome Screen 1/uu + DBB lub Wideboard 3/uu</v>
      </c>
      <c r="D17" s="541"/>
      <c r="E17" s="546"/>
      <c r="F17" s="566" t="str">
        <f>IF('Język - Language'!$B$30="Polski","Banner skalowany XL 1/uu + Banner skalowany 2/uu","Adjusted Banner XL 1/uu + Adjusted Banner 2/uu")</f>
        <v>Banner skalowany XL 1/uu + Banner skalowany 2/uu</v>
      </c>
      <c r="G17" s="567"/>
      <c r="H17" s="568"/>
      <c r="I17" s="447">
        <v>700000</v>
      </c>
      <c r="J17" s="185">
        <v>840000</v>
      </c>
      <c r="K17" s="341"/>
      <c r="L17" s="341"/>
      <c r="M17" s="341"/>
    </row>
    <row r="18" spans="1:13" s="96" customFormat="1" ht="25.5" customHeight="1">
      <c r="A18" s="353"/>
      <c r="B18" s="572"/>
      <c r="C18" s="540" t="str">
        <f>IF('Język - Language'!$B$30="Polski","Welcome Screen XL 1/uu + DBB lub Wideboard 3/uu","Welcome Screen XL 1/uu + DBB lub Wideboard 3/uu")</f>
        <v>Welcome Screen XL 1/uu + DBB lub Wideboard 3/uu</v>
      </c>
      <c r="D18" s="541"/>
      <c r="E18" s="546"/>
      <c r="F18" s="540" t="str">
        <f>IF('Język - Language'!$B$30="Polski","Banner skalowany XL 1/uu + Banner skalowany 2/uu","Adjusted Banner XL 1/uu + Adjusted Banner 2/uu")</f>
        <v>Banner skalowany XL 1/uu + Banner skalowany 2/uu</v>
      </c>
      <c r="G18" s="541"/>
      <c r="H18" s="546"/>
      <c r="I18" s="447">
        <v>770000</v>
      </c>
      <c r="J18" s="185">
        <v>930000</v>
      </c>
      <c r="K18" s="341"/>
      <c r="L18" s="341"/>
      <c r="M18" s="341"/>
    </row>
    <row r="19" spans="1:13" s="124" customFormat="1" ht="25.5" customHeight="1">
      <c r="B19" s="573"/>
      <c r="C19" s="574"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9" s="575"/>
      <c r="E19" s="575"/>
      <c r="F19" s="575"/>
      <c r="G19" s="575"/>
      <c r="H19" s="575"/>
      <c r="I19" s="575"/>
      <c r="J19" s="576"/>
      <c r="K19" s="341"/>
      <c r="L19" s="341"/>
      <c r="M19" s="341"/>
    </row>
    <row r="20" spans="1:13" s="120" customFormat="1" ht="25.5" customHeight="1">
      <c r="B20" s="615" t="s">
        <v>6</v>
      </c>
      <c r="C20" s="540" t="str">
        <f>IF('Język - Language'!$B$30="Polski","Double Billboard lub Wideboard FF","Double Billboard lub Wideboard FF")</f>
        <v>Double Billboard lub Wideboard FF</v>
      </c>
      <c r="D20" s="541"/>
      <c r="E20" s="546"/>
      <c r="F20" s="540" t="str">
        <f>IF('Język - Language'!$B$30="Polski","Banner górny FF","Upper Banner FF")</f>
        <v>Banner górny FF</v>
      </c>
      <c r="G20" s="541"/>
      <c r="H20" s="546"/>
      <c r="I20" s="447">
        <v>315000</v>
      </c>
      <c r="J20" s="185">
        <v>375000</v>
      </c>
      <c r="K20" s="341"/>
      <c r="L20" s="341"/>
      <c r="M20" s="341"/>
    </row>
    <row r="21" spans="1:13" s="120" customFormat="1" ht="25.5" customHeight="1">
      <c r="B21" s="616"/>
      <c r="C21" s="540" t="str">
        <f>IF('Język - Language'!$B$30="Polski","Gigaboard 1/uu + Mega Double Billboard FF","Gigaboard 1/uu + Mega Double Billboard FF")</f>
        <v>Gigaboard 1/uu + Mega Double Billboard FF</v>
      </c>
      <c r="D21" s="541"/>
      <c r="E21" s="546"/>
      <c r="F21" s="540" t="str">
        <f>IF('Język - Language'!$B$30="Polski","Banner skalowany XL FF","Adjusted Banner XL FF")</f>
        <v>Banner skalowany XL FF</v>
      </c>
      <c r="G21" s="541"/>
      <c r="H21" s="546"/>
      <c r="I21" s="447">
        <v>440000</v>
      </c>
      <c r="J21" s="185">
        <v>530000</v>
      </c>
      <c r="K21" s="341"/>
      <c r="L21" s="341"/>
      <c r="M21" s="341"/>
    </row>
    <row r="22" spans="1:13" s="96" customFormat="1" ht="25.5" customHeight="1">
      <c r="B22" s="616"/>
      <c r="C22" s="540" t="str">
        <f>IF('Język - Language'!$B$30="Polski","Welcome Screen 1/uu + DBB lub Wideboard FF","Welcome Screen 1/uu + DBB lub Wideboard FF")</f>
        <v>Welcome Screen 1/uu + DBB lub Wideboard FF</v>
      </c>
      <c r="D22" s="541"/>
      <c r="E22" s="546"/>
      <c r="F22" s="540" t="str">
        <f>IF('Język - Language'!$B$30="Polski","Banner skalowany XL FF","Adjusted Banner XL FF")</f>
        <v>Banner skalowany XL FF</v>
      </c>
      <c r="G22" s="541"/>
      <c r="H22" s="546"/>
      <c r="I22" s="447">
        <v>415000</v>
      </c>
      <c r="J22" s="185">
        <v>495000</v>
      </c>
      <c r="K22" s="341"/>
      <c r="L22" s="341"/>
      <c r="M22" s="341"/>
    </row>
    <row r="23" spans="1:13" s="58" customFormat="1" ht="25.5" customHeight="1">
      <c r="B23" s="617"/>
      <c r="C23" s="574"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575"/>
      <c r="E23" s="575"/>
      <c r="F23" s="575"/>
      <c r="G23" s="575"/>
      <c r="H23" s="575"/>
      <c r="I23" s="575"/>
      <c r="J23" s="576"/>
      <c r="K23" s="341"/>
      <c r="L23" s="341"/>
      <c r="M23" s="341"/>
    </row>
    <row r="24" spans="1:13" s="58" customFormat="1" ht="12.75" customHeight="1">
      <c r="B24" s="598" t="s">
        <v>7</v>
      </c>
      <c r="C24" s="540" t="str">
        <f>IF('Język - Language'!$B$30="Polski","WP Box w module Wiadomości FF","WP Box in the News category FF")</f>
        <v>WP Box w module Wiadomości FF</v>
      </c>
      <c r="D24" s="541"/>
      <c r="E24" s="546"/>
      <c r="F24" s="566" t="str">
        <f>IF('Język - Language'!$B$30="Polski","nd","n/a")</f>
        <v>nd</v>
      </c>
      <c r="G24" s="567"/>
      <c r="H24" s="568"/>
      <c r="I24" s="447">
        <v>130000</v>
      </c>
      <c r="J24" s="185">
        <v>155000</v>
      </c>
      <c r="K24" s="341"/>
      <c r="L24" s="341"/>
      <c r="M24" s="341"/>
    </row>
    <row r="25" spans="1:13" s="58" customFormat="1" ht="12.75" customHeight="1">
      <c r="B25" s="599"/>
      <c r="C25" s="540" t="str">
        <f>IF('Język - Language'!$B$30="Polski","WP Box w module Sport FF","WP Box in the Sport category FF")</f>
        <v>WP Box w module Sport FF</v>
      </c>
      <c r="D25" s="541"/>
      <c r="E25" s="546"/>
      <c r="F25" s="566" t="str">
        <f>IF('Język - Language'!$B$30="Polski","nd","n/a")</f>
        <v>nd</v>
      </c>
      <c r="G25" s="567"/>
      <c r="H25" s="568"/>
      <c r="I25" s="447">
        <v>90000</v>
      </c>
      <c r="J25" s="185">
        <v>105000</v>
      </c>
      <c r="K25" s="341"/>
      <c r="L25" s="341"/>
      <c r="M25" s="341"/>
    </row>
    <row r="26" spans="1:13" s="58" customFormat="1" ht="12.75" customHeight="1">
      <c r="B26" s="599"/>
      <c r="C26" s="540" t="str">
        <f>IF('Język - Language'!$B$30="Polski","WP Box w module Biznes FF","WP Box in the Business category FF")</f>
        <v>WP Box w module Biznes FF</v>
      </c>
      <c r="D26" s="541"/>
      <c r="E26" s="546"/>
      <c r="F26" s="566" t="str">
        <f>IF('Język - Language'!$B$30="Polski","nd","n/a")</f>
        <v>nd</v>
      </c>
      <c r="G26" s="567"/>
      <c r="H26" s="568"/>
      <c r="I26" s="447">
        <v>63000</v>
      </c>
      <c r="J26" s="185">
        <v>72000</v>
      </c>
      <c r="K26" s="341"/>
      <c r="L26" s="341"/>
      <c r="M26" s="341"/>
    </row>
    <row r="27" spans="1:13" s="283" customFormat="1" ht="12.75" customHeight="1">
      <c r="B27" s="599"/>
      <c r="C27" s="540" t="s">
        <v>204</v>
      </c>
      <c r="D27" s="541"/>
      <c r="E27" s="546"/>
      <c r="F27" s="566" t="s">
        <v>8</v>
      </c>
      <c r="G27" s="567"/>
      <c r="H27" s="568"/>
      <c r="I27" s="447">
        <v>190000</v>
      </c>
      <c r="J27" s="185">
        <v>225000</v>
      </c>
      <c r="K27" s="341"/>
      <c r="L27" s="341"/>
      <c r="M27" s="341"/>
    </row>
    <row r="28" spans="1:13" s="58" customFormat="1" ht="12.75" customHeight="1">
      <c r="B28" s="599"/>
      <c r="C28" s="540" t="str">
        <f>IF('Język - Language'!$B$30="Polski","Content Box XL (nad modułem Sport) FF","Content Box XL (above the category Sport) FF")</f>
        <v>Content Box XL (nad modułem Sport) FF</v>
      </c>
      <c r="D28" s="541"/>
      <c r="E28" s="546"/>
      <c r="F28" s="586" t="str">
        <f>IF('Język - Language'!$B$30="Polski","Content Box XL (Rectangle/Banner skalowany XL) w module Sport FF","Content Box XL (Rectangle/Adjusted Banner XL) above the category Sport FF")</f>
        <v>Content Box XL (Rectangle/Banner skalowany XL) w module Sport FF</v>
      </c>
      <c r="G28" s="587"/>
      <c r="H28" s="588"/>
      <c r="I28" s="447">
        <v>420000</v>
      </c>
      <c r="J28" s="185">
        <v>480000</v>
      </c>
      <c r="K28" s="341"/>
      <c r="L28" s="341"/>
      <c r="M28" s="341"/>
    </row>
    <row r="29" spans="1:13" s="58" customFormat="1" ht="12.75" customHeight="1">
      <c r="B29" s="599"/>
      <c r="C29" s="540" t="str">
        <f>IF('Język - Language'!$B$30="Polski","Content Box nad modułem Biznes FF²","Content Box above the category Business FF²")</f>
        <v>Content Box nad modułem Biznes FF²</v>
      </c>
      <c r="D29" s="541"/>
      <c r="E29" s="546"/>
      <c r="F29" s="606" t="str">
        <f>IF('Język - Language'!$B$30="Polski","Content Box (Banner/Banner skalowany) w module Biznes FF","Content Box (Banner/adjusted banner) above the category Business FF")</f>
        <v>Content Box (Banner/Banner skalowany) w module Biznes FF</v>
      </c>
      <c r="G29" s="607"/>
      <c r="H29" s="608"/>
      <c r="I29" s="447">
        <v>200000</v>
      </c>
      <c r="J29" s="185">
        <v>240000</v>
      </c>
      <c r="K29" s="341"/>
      <c r="L29" s="341"/>
      <c r="M29" s="341"/>
    </row>
    <row r="30" spans="1:13" s="58" customFormat="1" ht="12.75" customHeight="1">
      <c r="B30" s="599"/>
      <c r="C30" s="540" t="str">
        <f>IF('Język - Language'!$B$30="Polski","Content Box nad modułem Gwiazdy FF²","Content Box above the category Stars FF²")</f>
        <v>Content Box nad modułem Gwiazdy FF²</v>
      </c>
      <c r="D30" s="541"/>
      <c r="E30" s="546"/>
      <c r="F30" s="606" t="str">
        <f>IF('Język - Language'!$B$30="Polski","Content Box (Banner/Banner skalowany) nad modułem Gwiazdy FF","Content Box (Banner/adjusted banner) above the category Stars FF")</f>
        <v>Content Box (Banner/Banner skalowany) nad modułem Gwiazdy FF</v>
      </c>
      <c r="G30" s="607"/>
      <c r="H30" s="608"/>
      <c r="I30" s="447">
        <v>170000</v>
      </c>
      <c r="J30" s="185">
        <v>200000</v>
      </c>
      <c r="K30" s="341"/>
      <c r="L30" s="341"/>
      <c r="M30" s="341"/>
    </row>
    <row r="31" spans="1:13" s="58" customFormat="1" ht="12.75" customHeight="1">
      <c r="B31" s="599"/>
      <c r="C31" s="540" t="str">
        <f>IF('Język - Language'!$B$30="Polski","Content Box nad modułem Moto&amp;Tech&amp;Gry FF²","Content Box above the category Moto&amp;Tech FF²")</f>
        <v>Content Box nad modułem Moto&amp;Tech&amp;Gry FF²</v>
      </c>
      <c r="D31" s="541"/>
      <c r="E31" s="546"/>
      <c r="F31" s="606" t="str">
        <f>IF('Język - Language'!$B$30="Polski","Content Box (Banner/Banner skalowany) nad modułem Moto&amp;Tech FF","Content Box (Banner/adjusted banner) above the category Moto&amp;Tech FF")</f>
        <v>Content Box (Banner/Banner skalowany) nad modułem Moto&amp;Tech FF</v>
      </c>
      <c r="G31" s="607"/>
      <c r="H31" s="608"/>
      <c r="I31" s="447">
        <v>145000</v>
      </c>
      <c r="J31" s="185">
        <v>170000</v>
      </c>
      <c r="K31" s="341"/>
      <c r="L31" s="341"/>
      <c r="M31" s="341"/>
    </row>
    <row r="32" spans="1:13" s="58" customFormat="1" ht="12.75" customHeight="1">
      <c r="B32" s="599"/>
      <c r="C32" s="540" t="str">
        <f>IF('Język - Language'!$B$30="Polski","Content Box nad modułem Styl Życia FF²","Content Box above the category Lifestyle FF²")</f>
        <v>Content Box nad modułem Styl Życia FF²</v>
      </c>
      <c r="D32" s="541"/>
      <c r="E32" s="546"/>
      <c r="F32" s="606" t="str">
        <f>IF('Język - Language'!$B$30="Polski","Content Box (Banner/Banner skalowany) nad modułem Styl Życia FF","Content Box (Banner/adjusted banner) above the category Lifestyle FF")</f>
        <v>Content Box (Banner/Banner skalowany) nad modułem Styl Życia FF</v>
      </c>
      <c r="G32" s="607"/>
      <c r="H32" s="608"/>
      <c r="I32" s="447">
        <v>145000</v>
      </c>
      <c r="J32" s="185">
        <v>170000</v>
      </c>
      <c r="K32" s="341"/>
      <c r="L32" s="341"/>
      <c r="M32" s="341"/>
    </row>
    <row r="33" spans="2:13" s="159" customFormat="1" ht="12.75" customHeight="1">
      <c r="B33" s="600"/>
      <c r="C33" s="540" t="str">
        <f>IF('Język - Language'!$B$30="Polski","Belka reklamowa FF²","Advertising bar FF²")</f>
        <v>Belka reklamowa FF²</v>
      </c>
      <c r="D33" s="541"/>
      <c r="E33" s="546"/>
      <c r="F33" s="566" t="s">
        <v>8</v>
      </c>
      <c r="G33" s="567"/>
      <c r="H33" s="568"/>
      <c r="I33" s="645">
        <v>135000</v>
      </c>
      <c r="J33" s="646"/>
      <c r="K33" s="341"/>
      <c r="L33" s="341"/>
      <c r="M33" s="341"/>
    </row>
    <row r="34" spans="2:13" s="58" customFormat="1" ht="12.75" customHeight="1">
      <c r="B34" s="601" t="s">
        <v>9</v>
      </c>
      <c r="C34" s="540" t="str">
        <f>IF('Język - Language'!$B$30="Polski","Link txt w module Wiadomości (kierujący na zewnątrz) FF","Textual link in the News category (directs outside WP) FF")</f>
        <v>Link txt w module Wiadomości (kierujący na zewnątrz) FF</v>
      </c>
      <c r="D34" s="541"/>
      <c r="E34" s="546"/>
      <c r="F34" s="540" t="str">
        <f>IF('Język - Language'!$B$30="Polski","Link tekstowo-graficzny w module Wiadomości (kierujący na zewnątrz) FF ","Textual-graphic link in the News category (directs outside WP) FF")</f>
        <v xml:space="preserve">Link tekstowo-graficzny w module Wiadomości (kierujący na zewnątrz) FF </v>
      </c>
      <c r="G34" s="541"/>
      <c r="H34" s="546"/>
      <c r="I34" s="645">
        <v>58000</v>
      </c>
      <c r="J34" s="646"/>
      <c r="K34" s="341"/>
      <c r="L34" s="341"/>
      <c r="M34" s="341"/>
    </row>
    <row r="35" spans="2:13" s="58" customFormat="1" ht="12.75" customHeight="1">
      <c r="B35" s="602"/>
      <c r="C35" s="540" t="str">
        <f>IF('Język - Language'!$B$30="Polski","Link txt w module Sport (kierujący na zewnątrz) FF ","Textual link in the Sport category (directs outside WP) FF")</f>
        <v xml:space="preserve">Link txt w module Sport (kierujący na zewnątrz) FF </v>
      </c>
      <c r="D35" s="541"/>
      <c r="E35" s="546"/>
      <c r="F35" s="540" t="str">
        <f>IF('Język - Language'!$B$30="Polski","Link tekstowo-graficzny w module Sport (kierujący na zewnątrz) FF","Textual-graphic link in the Sport category (directs outside WP) FF")</f>
        <v>Link tekstowo-graficzny w module Sport (kierujący na zewnątrz) FF</v>
      </c>
      <c r="G35" s="541"/>
      <c r="H35" s="546"/>
      <c r="I35" s="645">
        <v>50000</v>
      </c>
      <c r="J35" s="646"/>
      <c r="K35" s="341"/>
      <c r="L35" s="341"/>
      <c r="M35" s="341"/>
    </row>
    <row r="36" spans="2:13" s="89" customFormat="1" ht="12.75" customHeight="1">
      <c r="B36" s="602"/>
      <c r="C36" s="547" t="str">
        <f>IF('Język - Language'!$B$30="Polski","Link txt w module Biznes (kierujący na zewnątrz) FF ","Textual link in the Business category (directs outside WP) FF")</f>
        <v xml:space="preserve">Link txt w module Biznes (kierujący na zewnątrz) FF </v>
      </c>
      <c r="D36" s="548"/>
      <c r="E36" s="549"/>
      <c r="F36" s="547" t="str">
        <f>IF('Język - Language'!$B$30="Polski","Link tekstowo-graficzny w module Biznes (kierujący na zewnątrz) FF","Textual-graphic link in the Business category (directs outside WP) FF")</f>
        <v>Link tekstowo-graficzny w module Biznes (kierujący na zewnątrz) FF</v>
      </c>
      <c r="G36" s="548"/>
      <c r="H36" s="549"/>
      <c r="I36" s="634">
        <v>33000</v>
      </c>
      <c r="J36" s="635"/>
      <c r="K36" s="341"/>
      <c r="L36" s="341"/>
      <c r="M36" s="341"/>
    </row>
    <row r="37" spans="2:13" s="157" customFormat="1" ht="12.75" customHeight="1">
      <c r="B37" s="158"/>
      <c r="C37" s="162"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7" s="162"/>
      <c r="E37" s="163"/>
      <c r="F37" s="164"/>
      <c r="G37" s="164"/>
      <c r="H37" s="164"/>
      <c r="I37" s="165"/>
      <c r="J37" s="171"/>
      <c r="K37" s="341"/>
      <c r="L37" s="341"/>
      <c r="M37" s="341"/>
    </row>
    <row r="38" spans="2:13" s="58" customFormat="1" ht="12.75" customHeight="1">
      <c r="B38" s="353"/>
      <c r="C38" s="166" t="str">
        <f>IF('Język - Language'!$B$30="Polski","² Content Box XL +75%","² Content Box XL +75%")</f>
        <v>² Content Box XL +75%</v>
      </c>
      <c r="D38" s="166"/>
      <c r="E38" s="162"/>
      <c r="F38" s="168"/>
      <c r="G38" s="168"/>
      <c r="H38" s="168"/>
      <c r="I38" s="168"/>
      <c r="J38" s="172"/>
      <c r="K38" s="353"/>
      <c r="L38" s="353"/>
      <c r="M38" s="353"/>
    </row>
    <row r="39" spans="2:13" s="96" customFormat="1" ht="12.75" customHeight="1">
      <c r="B39" s="353"/>
      <c r="C39" s="353"/>
      <c r="D39" s="353"/>
      <c r="E39" s="353"/>
      <c r="F39" s="353"/>
      <c r="G39" s="353"/>
      <c r="H39" s="353"/>
      <c r="I39" s="353"/>
      <c r="J39" s="353"/>
      <c r="K39" s="353"/>
      <c r="L39" s="353"/>
      <c r="M39" s="353"/>
    </row>
    <row r="40" spans="2:13" s="58" customFormat="1" ht="12.75" customHeight="1">
      <c r="B40" s="353"/>
      <c r="C40" s="353"/>
      <c r="D40" s="353"/>
      <c r="E40" s="353"/>
      <c r="F40" s="353"/>
      <c r="G40" s="353"/>
      <c r="H40" s="353"/>
      <c r="I40" s="353"/>
      <c r="J40" s="353"/>
      <c r="K40" s="353"/>
      <c r="L40" s="353"/>
      <c r="M40" s="353"/>
    </row>
    <row r="41" spans="2:13" s="58" customFormat="1" ht="12.75" customHeight="1">
      <c r="B41" s="638" t="str">
        <f>IF('Język - Language'!$B$30="Polski","STRONA GŁÓWNA O2 (DESKTOP/TABLET)","O2 HOME PAGE (DESKTOP/TABLET)")</f>
        <v>STRONA GŁÓWNA O2 (DESKTOP/TABLET)</v>
      </c>
      <c r="C41" s="638"/>
      <c r="D41" s="638"/>
      <c r="E41" s="638"/>
      <c r="F41" s="638" t="str">
        <f>IF('Język - Language'!$B$30="Polski","STRONA GŁÓWNA O2 (MOBILE)¹","O2 HOME PAGE (MOBILE)¹")</f>
        <v>STRONA GŁÓWNA O2 (MOBILE)¹</v>
      </c>
      <c r="G41" s="638"/>
      <c r="H41" s="638"/>
      <c r="I41" s="638" t="str">
        <f>IF('Język - Language'!$B$30="Polski","CZAS EMISJI","TIME")</f>
        <v>CZAS EMISJI</v>
      </c>
      <c r="J41" s="636" t="str">
        <f>IF('Język - Language'!$B$30="Polski","CENA RC","PRICE")</f>
        <v>CENA RC</v>
      </c>
      <c r="K41" s="353"/>
      <c r="L41" s="353"/>
      <c r="M41" s="353"/>
    </row>
    <row r="42" spans="2:13" s="58" customFormat="1" ht="12.75" customHeight="1">
      <c r="B42" s="639"/>
      <c r="C42" s="639"/>
      <c r="D42" s="639"/>
      <c r="E42" s="639"/>
      <c r="F42" s="639"/>
      <c r="G42" s="639"/>
      <c r="H42" s="639"/>
      <c r="I42" s="639"/>
      <c r="J42" s="637"/>
      <c r="K42" s="353"/>
      <c r="L42" s="353"/>
      <c r="M42" s="353"/>
    </row>
    <row r="43" spans="2:13" s="58" customFormat="1" ht="12.75" customHeight="1">
      <c r="B43" s="592" t="str">
        <f>IF('Język - Language'!$B$30="Polski","Gigaboard FF","Gigaboard FF")</f>
        <v>Gigaboard FF</v>
      </c>
      <c r="C43" s="593"/>
      <c r="D43" s="593"/>
      <c r="E43" s="594"/>
      <c r="F43" s="603" t="str">
        <f>IF('Język - Language'!$B$30="Polski","Rectangle/Banner skalowany FF","Rectangle FF/Adjusted Banner FF")</f>
        <v>Rectangle/Banner skalowany FF</v>
      </c>
      <c r="G43" s="604"/>
      <c r="H43" s="605"/>
      <c r="I43" s="640" t="str">
        <f>IF('Język - Language'!$B$30="Polski","Flat Fee / dzień","Flat Fee / 24 h")</f>
        <v>Flat Fee / dzień</v>
      </c>
      <c r="J43" s="186">
        <v>100000</v>
      </c>
      <c r="K43" s="353"/>
      <c r="L43" s="353"/>
      <c r="M43" s="353"/>
    </row>
    <row r="44" spans="2:13" s="61" customFormat="1" ht="12.75" customHeight="1">
      <c r="B44" s="569" t="str">
        <f>IF('Język - Language'!$B$30="Polski","Billboard/Double Billboard/Wideboard FF","Billboard/Double Billboard/Wideboard")</f>
        <v>Billboard/Double Billboard/Wideboard FF</v>
      </c>
      <c r="C44" s="570"/>
      <c r="D44" s="570"/>
      <c r="E44" s="571"/>
      <c r="F44" s="577" t="str">
        <f>IF('Język - Language'!$B$30="Polski","Banner górny FF","Upper Banner FF")</f>
        <v>Banner górny FF</v>
      </c>
      <c r="G44" s="578"/>
      <c r="H44" s="579"/>
      <c r="I44" s="640"/>
      <c r="J44" s="186">
        <v>65000</v>
      </c>
      <c r="K44" s="353"/>
      <c r="L44" s="353"/>
      <c r="M44" s="353"/>
    </row>
    <row r="45" spans="2:13" s="283" customFormat="1" ht="12.75" customHeight="1">
      <c r="B45" s="619" t="str">
        <f>IF('Język - Language'!$B$30="Polski","Billboard/Double Billboard/Wideboard FF (SG O2 + WARSTWY)","Billboard/Double Billboard/Wideboard FF (O2 HOME PAGE + LAYERS)")</f>
        <v>Billboard/Double Billboard/Wideboard FF (SG O2 + WARSTWY)</v>
      </c>
      <c r="C45" s="620"/>
      <c r="D45" s="620"/>
      <c r="E45" s="621"/>
      <c r="F45" s="642" t="str">
        <f>IF('Język - Language'!$B$30="Polski","Banner górny FF","Upper Banner FF")</f>
        <v>Banner górny FF</v>
      </c>
      <c r="G45" s="643"/>
      <c r="H45" s="644"/>
      <c r="I45" s="640"/>
      <c r="J45" s="186">
        <v>97000</v>
      </c>
      <c r="K45" s="353"/>
      <c r="L45" s="353"/>
      <c r="M45" s="353"/>
    </row>
    <row r="46" spans="2:13" ht="12.75" customHeight="1">
      <c r="B46" s="569" t="str">
        <f>IF('Język - Language'!$B$30="Polski","Native Ad Stream #1, #2 FF","Native Ad Stream #1, #2 FF")</f>
        <v>Native Ad Stream #1, #2 FF</v>
      </c>
      <c r="C46" s="570"/>
      <c r="D46" s="570"/>
      <c r="E46" s="571"/>
      <c r="F46" s="577" t="str">
        <f>IF('Język - Language'!$B$30="Polski","Native Ad FF","Native Ad FF")</f>
        <v>Native Ad FF</v>
      </c>
      <c r="G46" s="578"/>
      <c r="H46" s="579"/>
      <c r="I46" s="640"/>
      <c r="J46" s="186">
        <v>22000</v>
      </c>
      <c r="K46" s="353"/>
      <c r="L46" s="353"/>
      <c r="M46" s="353"/>
    </row>
    <row r="47" spans="2:13" ht="12.75" customHeight="1">
      <c r="B47" s="577" t="str">
        <f>IF('Język - Language'!$B$30="Polski","Mid Box FF","Mid Box FF")</f>
        <v>Mid Box FF</v>
      </c>
      <c r="C47" s="578"/>
      <c r="D47" s="578"/>
      <c r="E47" s="579"/>
      <c r="F47" s="577" t="str">
        <f>IF('Język - Language'!$B$30="Polski","Banner środkowy FF","Middle Banner FF")</f>
        <v>Banner środkowy FF</v>
      </c>
      <c r="G47" s="578"/>
      <c r="H47" s="579"/>
      <c r="I47" s="640"/>
      <c r="J47" s="187">
        <v>32000</v>
      </c>
      <c r="K47" s="353"/>
      <c r="L47" s="353"/>
      <c r="M47" s="353"/>
    </row>
    <row r="48" spans="2:13" ht="12.75" customHeight="1">
      <c r="B48" s="577" t="str">
        <f>IF('Język - Language'!$B$30="Polski","Content Box FF","Content Box FF")</f>
        <v>Content Box FF</v>
      </c>
      <c r="C48" s="578"/>
      <c r="D48" s="578"/>
      <c r="E48" s="579"/>
      <c r="F48" s="577" t="str">
        <f>IF('Język - Language'!$B$30="Polski","Drugi Banner środkowy FF","2nd Middle Banner FF")</f>
        <v>Drugi Banner środkowy FF</v>
      </c>
      <c r="G48" s="578"/>
      <c r="H48" s="579"/>
      <c r="I48" s="640"/>
      <c r="J48" s="188">
        <v>22000</v>
      </c>
      <c r="K48" s="353"/>
      <c r="L48" s="353"/>
      <c r="M48" s="353"/>
    </row>
    <row r="49" spans="2:13" s="283" customFormat="1" ht="12.75" customHeight="1">
      <c r="B49" s="577" t="str">
        <f>IF('Język - Language'!$B$30="Polski","Content Box FF (SG O2 + WARSTWY)","Content Box FF (O2 HOME PAGE + LAYERS)")</f>
        <v>Content Box FF (SG O2 + WARSTWY)</v>
      </c>
      <c r="C49" s="578"/>
      <c r="D49" s="578"/>
      <c r="E49" s="579"/>
      <c r="F49" s="577" t="str">
        <f>IF('Język - Language'!$B$30="Polski","Drugi Banner środkowy FF","2nd Middle Banner FF")</f>
        <v>Drugi Banner środkowy FF</v>
      </c>
      <c r="G49" s="578"/>
      <c r="H49" s="579"/>
      <c r="I49" s="640"/>
      <c r="J49" s="188">
        <v>33000</v>
      </c>
      <c r="K49" s="353"/>
      <c r="L49" s="353"/>
      <c r="M49" s="353"/>
    </row>
    <row r="50" spans="2:13" ht="12.75" customHeight="1">
      <c r="B50" s="577" t="str">
        <f>IF('Język - Language'!$B$30="Polski","Content Box XL FF","Content Box XL FF")</f>
        <v>Content Box XL FF</v>
      </c>
      <c r="C50" s="578"/>
      <c r="D50" s="578"/>
      <c r="E50" s="579"/>
      <c r="F50" s="577" t="str">
        <f>IF('Język - Language'!$B$30="Polski","Rectangle/Banner skalowany FF","Rectangle/Adjusted Banner FF")</f>
        <v>Rectangle/Banner skalowany FF</v>
      </c>
      <c r="G50" s="578"/>
      <c r="H50" s="579"/>
      <c r="I50" s="640"/>
      <c r="J50" s="188">
        <v>38000</v>
      </c>
      <c r="K50" s="353"/>
      <c r="L50" s="353"/>
      <c r="M50" s="353"/>
    </row>
    <row r="51" spans="2:13" s="283" customFormat="1" ht="12.75" customHeight="1">
      <c r="B51" s="577" t="str">
        <f>IF('Język - Language'!$B$30="Polski","Content Box XL FF (SG O2 + WARSTWY)","Content Box XL FF (O2 HOME PAGE + LAYERS)")</f>
        <v>Content Box XL FF (SG O2 + WARSTWY)</v>
      </c>
      <c r="C51" s="578"/>
      <c r="D51" s="578"/>
      <c r="E51" s="579"/>
      <c r="F51" s="577" t="str">
        <f>IF('Język - Language'!$B$30="Polski","Rectangle/Banner skalowany FF","Rectangle/Adjusted Banner FF")</f>
        <v>Rectangle/Banner skalowany FF</v>
      </c>
      <c r="G51" s="578"/>
      <c r="H51" s="579"/>
      <c r="I51" s="640"/>
      <c r="J51" s="187">
        <v>57000</v>
      </c>
      <c r="K51" s="353"/>
    </row>
    <row r="52" spans="2:13" ht="12.75" customHeight="1">
      <c r="B52" s="589" t="str">
        <f>IF('Język - Language'!$B$30="Polski","Bottom Box FF","Bottom Box FF")</f>
        <v>Bottom Box FF</v>
      </c>
      <c r="C52" s="590"/>
      <c r="D52" s="590"/>
      <c r="E52" s="591"/>
      <c r="F52" s="595" t="str">
        <f>IF('Język - Language'!$B$30="Polski","Banner dolny FF","Bottom Banner FF")</f>
        <v>Banner dolny FF</v>
      </c>
      <c r="G52" s="596"/>
      <c r="H52" s="597"/>
      <c r="I52" s="641"/>
      <c r="J52" s="311">
        <v>16000</v>
      </c>
      <c r="K52" s="353"/>
    </row>
    <row r="53" spans="2:13" ht="12.75" customHeight="1">
      <c r="B53" s="322"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53" s="320"/>
      <c r="D53" s="320"/>
      <c r="E53" s="320"/>
      <c r="F53" s="320"/>
      <c r="G53" s="320"/>
      <c r="H53" s="320"/>
      <c r="I53" s="320"/>
      <c r="J53" s="321"/>
      <c r="K53" s="353"/>
    </row>
    <row r="54" spans="2:13">
      <c r="B54" s="160" t="str">
        <f>IF('Język - Language'!$B$30="Polski","- Dopłata za expand na desktop + tablet: +50% ","- Expand version of ad format for desktop + tablet with extra charge +50%")</f>
        <v xml:space="preserve">- Dopłata za expand na desktop + tablet: +50% </v>
      </c>
      <c r="C54" s="161"/>
      <c r="D54" s="161"/>
      <c r="E54" s="161"/>
      <c r="F54" s="161"/>
      <c r="G54" s="161"/>
      <c r="H54" s="161"/>
      <c r="I54" s="161"/>
      <c r="J54" s="170"/>
      <c r="K54" s="353"/>
    </row>
    <row r="55" spans="2:13">
      <c r="B55" s="160"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5" s="161"/>
      <c r="D55" s="161"/>
      <c r="E55" s="161"/>
      <c r="F55" s="161"/>
      <c r="G55" s="161"/>
      <c r="H55" s="161"/>
      <c r="I55" s="161"/>
      <c r="J55" s="170"/>
      <c r="K55" s="353"/>
    </row>
    <row r="56" spans="2:13" s="82" customFormat="1">
      <c r="B56" s="169"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6" s="161"/>
      <c r="D56" s="161"/>
      <c r="E56" s="161"/>
      <c r="F56" s="161"/>
      <c r="G56" s="161"/>
      <c r="H56" s="161"/>
      <c r="I56" s="161"/>
      <c r="J56" s="170"/>
      <c r="K56" s="353"/>
    </row>
    <row r="57" spans="2:13" s="96" customFormat="1">
      <c r="B57" s="353"/>
      <c r="C57" s="60"/>
      <c r="D57" s="60"/>
      <c r="E57" s="60"/>
      <c r="F57" s="60"/>
      <c r="G57" s="60"/>
      <c r="H57" s="60"/>
      <c r="I57" s="60"/>
      <c r="J57" s="60"/>
      <c r="K57" s="60"/>
    </row>
    <row r="58" spans="2:13" s="96" customFormat="1">
      <c r="B58" s="353"/>
      <c r="C58" s="353"/>
      <c r="D58" s="353"/>
      <c r="E58" s="353"/>
      <c r="F58" s="353"/>
      <c r="G58" s="353"/>
      <c r="H58" s="353"/>
      <c r="I58" s="353"/>
      <c r="J58" s="353"/>
      <c r="K58" s="353"/>
    </row>
    <row r="60" spans="2:13" ht="12.75" customHeight="1">
      <c r="B60" s="618" t="str">
        <f>IF('Język - Language'!$B$30="Polski","STRONA GŁÓWNA PUDELEK (DESKTOP/TABLET)","PUDELEK HOMEPAGE (DESKTOP/TABLET)")</f>
        <v>STRONA GŁÓWNA PUDELEK (DESKTOP/TABLET)</v>
      </c>
      <c r="C60" s="618"/>
      <c r="D60" s="618"/>
      <c r="E60" s="618"/>
      <c r="F60" s="618" t="str">
        <f>IF('Język - Language'!$B$30="Polski","STRONA GŁÓWNA PUDELEK (MOBILE)¹","PUDELEK HOMEPAGE (MOBILE)¹")</f>
        <v>STRONA GŁÓWNA PUDELEK (MOBILE)¹</v>
      </c>
      <c r="G60" s="618"/>
      <c r="H60" s="618"/>
      <c r="I60" s="618" t="str">
        <f>IF('Język - Language'!$B$30="Polski","CZAS EMISJI","TIME")</f>
        <v>CZAS EMISJI</v>
      </c>
      <c r="J60" s="633" t="str">
        <f>IF('Język - Language'!$B$30="Polski","CENA RC","PRICE")</f>
        <v>CENA RC</v>
      </c>
      <c r="K60" s="353"/>
    </row>
    <row r="61" spans="2:13">
      <c r="B61" s="618"/>
      <c r="C61" s="618"/>
      <c r="D61" s="618"/>
      <c r="E61" s="618"/>
      <c r="F61" s="618"/>
      <c r="G61" s="618"/>
      <c r="H61" s="618"/>
      <c r="I61" s="618"/>
      <c r="J61" s="633"/>
      <c r="K61" s="353"/>
    </row>
    <row r="62" spans="2:13" ht="12.75" customHeight="1">
      <c r="B62" s="619" t="str">
        <f>IF('Język - Language'!$B$30="Polski","Billboard/Double Billboard FF","Billboard/Double Billboard FF")</f>
        <v>Billboard/Double Billboard FF</v>
      </c>
      <c r="C62" s="620"/>
      <c r="D62" s="620"/>
      <c r="E62" s="621"/>
      <c r="F62" s="642" t="str">
        <f>IF('Język - Language'!$B$30="Polski","Banner górny FF","Upper Banner FF")</f>
        <v>Banner górny FF</v>
      </c>
      <c r="G62" s="643"/>
      <c r="H62" s="644"/>
      <c r="I62" s="640" t="str">
        <f>IF('Język - Language'!$B$30="Polski","Flat Fee / dzień"," Flat Fee / 24 h")</f>
        <v>Flat Fee / dzień</v>
      </c>
      <c r="J62" s="186">
        <v>90000</v>
      </c>
      <c r="K62" s="353"/>
    </row>
    <row r="63" spans="2:13" ht="12.75" customHeight="1">
      <c r="B63" s="569" t="str">
        <f>IF('Język - Language'!$B$30="Polski","Screening 1/uu + Double Billboard FF (tablet: tylko górny format)","Screening 1/uu + Double Billboard FF (tablet:only upper banner)")</f>
        <v>Screening 1/uu + Double Billboard FF (tablet: tylko górny format)</v>
      </c>
      <c r="C63" s="570"/>
      <c r="D63" s="570"/>
      <c r="E63" s="571"/>
      <c r="F63" s="540" t="str">
        <f>IF('Język - Language'!$B$30="Polski","Screening 1/uu + Banner górny FF","Screening 1/uu + Upper Banner FF")</f>
        <v>Screening 1/uu + Banner górny FF</v>
      </c>
      <c r="G63" s="541"/>
      <c r="H63" s="546"/>
      <c r="I63" s="640"/>
      <c r="J63" s="187">
        <v>115000</v>
      </c>
      <c r="K63" s="353"/>
    </row>
    <row r="64" spans="2:13" s="283" customFormat="1" ht="12.75" customHeight="1">
      <c r="B64" s="569" t="str">
        <f>IF('Język - Language'!$B$30="Polski","Gigaboard 1/uu + Double Billboard FF","Gigaboard 1/uu + Double Billboard FF")</f>
        <v>Gigaboard 1/uu + Double Billboard FF</v>
      </c>
      <c r="C64" s="570"/>
      <c r="D64" s="570"/>
      <c r="E64" s="571"/>
      <c r="F64" s="540" t="str">
        <f>IF('Język - Language'!$B$30="Polski","Commercial Break 1/uu + Banner górny FF","Commercial Break 1/uu + Upper Banner FF")</f>
        <v>Commercial Break 1/uu + Banner górny FF</v>
      </c>
      <c r="G64" s="541"/>
      <c r="H64" s="546"/>
      <c r="I64" s="640"/>
      <c r="J64" s="187">
        <v>115000</v>
      </c>
      <c r="K64" s="353"/>
    </row>
    <row r="65" spans="1:18" ht="12.75" customHeight="1">
      <c r="B65" s="569" t="str">
        <f>IF('Język - Language'!$B$30="Polski","Screening 3/uu + Double Billboard FF (tablet: tylko górny format)","Screening 3/uu + Double Billboard FF (tablet:only upper banner)")</f>
        <v>Screening 3/uu + Double Billboard FF (tablet: tylko górny format)</v>
      </c>
      <c r="C65" s="570"/>
      <c r="D65" s="570"/>
      <c r="E65" s="571"/>
      <c r="F65" s="540" t="str">
        <f>IF('Język - Language'!$B$30="Polski","Screening 3/uu + Banner górny FF","Screening 3/uu + Upper Banner FF")</f>
        <v>Screening 3/uu + Banner górny FF</v>
      </c>
      <c r="G65" s="541"/>
      <c r="H65" s="546"/>
      <c r="I65" s="640"/>
      <c r="J65" s="187">
        <v>130000</v>
      </c>
      <c r="K65" s="353"/>
    </row>
    <row r="66" spans="1:18" s="167" customFormat="1" ht="12.75" customHeight="1">
      <c r="B66" s="589" t="str">
        <f>IF('Język - Language'!$B$30="Polski","Rectangle na liście artykułów FF","Rectangle na liście artykułów FF")</f>
        <v>Rectangle na liście artykułów FF</v>
      </c>
      <c r="C66" s="590"/>
      <c r="D66" s="590"/>
      <c r="E66" s="591"/>
      <c r="F66" s="556" t="str">
        <f>IF('Język - Language'!$B$30="Polski","Rectangle FF","Rectangle FF")</f>
        <v>Rectangle FF</v>
      </c>
      <c r="G66" s="557"/>
      <c r="H66" s="558"/>
      <c r="I66" s="641"/>
      <c r="J66" s="189">
        <v>60000</v>
      </c>
      <c r="K66" s="353"/>
    </row>
    <row r="67" spans="1:18">
      <c r="A67" s="353"/>
      <c r="B67" s="16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7" s="173"/>
      <c r="D67" s="173"/>
      <c r="E67" s="173"/>
      <c r="F67" s="173"/>
      <c r="G67" s="173"/>
      <c r="H67" s="173"/>
      <c r="I67" s="173"/>
      <c r="J67" s="176"/>
      <c r="K67" s="353"/>
      <c r="L67" s="353"/>
      <c r="M67" s="353"/>
      <c r="N67" s="353"/>
      <c r="O67" s="353"/>
      <c r="P67" s="353"/>
      <c r="Q67" s="353"/>
      <c r="R67" s="353"/>
    </row>
    <row r="68" spans="1:18" s="179" customFormat="1">
      <c r="A68" s="353"/>
      <c r="B68" s="206"/>
      <c r="C68" s="353"/>
      <c r="D68" s="353"/>
      <c r="E68" s="353"/>
      <c r="F68" s="353"/>
      <c r="G68" s="353"/>
      <c r="H68" s="353"/>
      <c r="I68" s="353"/>
      <c r="J68" s="353"/>
      <c r="K68" s="341"/>
      <c r="L68" s="353"/>
      <c r="M68" s="353"/>
      <c r="N68" s="353"/>
      <c r="O68" s="353"/>
      <c r="P68" s="353"/>
      <c r="Q68" s="353"/>
      <c r="R68" s="353"/>
    </row>
    <row r="69" spans="1:18" s="179" customFormat="1">
      <c r="A69" s="353"/>
      <c r="B69" s="206"/>
      <c r="C69" s="353"/>
      <c r="D69" s="353"/>
      <c r="E69" s="353"/>
      <c r="F69" s="353"/>
      <c r="G69" s="353"/>
      <c r="H69" s="353"/>
      <c r="I69" s="353"/>
      <c r="J69" s="353"/>
      <c r="K69" s="341"/>
      <c r="L69" s="353"/>
      <c r="M69" s="353"/>
      <c r="N69" s="353"/>
      <c r="O69" s="353"/>
      <c r="P69" s="353"/>
      <c r="Q69" s="353"/>
      <c r="R69" s="353"/>
    </row>
    <row r="70" spans="1:18" s="194" customFormat="1" ht="25.5" customHeight="1">
      <c r="A70" s="353"/>
      <c r="B70" s="622" t="s">
        <v>10</v>
      </c>
      <c r="C70" s="623"/>
      <c r="D70" s="623"/>
      <c r="E70" s="624"/>
      <c r="F70" s="622" t="s">
        <v>11</v>
      </c>
      <c r="G70" s="623"/>
      <c r="H70" s="624"/>
      <c r="I70" s="207" t="str">
        <f>IF('Język - Language'!$B$30="Polski","MODEL EMISJI","MODEL OF EMISSION")</f>
        <v>MODEL EMISJI</v>
      </c>
      <c r="J70" s="207" t="str">
        <f>IF('Język - Language'!$B$30="Polski","CENA","PRICE")</f>
        <v>CENA</v>
      </c>
      <c r="K70" s="353"/>
      <c r="L70" s="353"/>
      <c r="M70" s="353"/>
      <c r="N70" s="353"/>
      <c r="O70" s="353"/>
      <c r="P70" s="353"/>
      <c r="Q70" s="353"/>
      <c r="R70" s="353"/>
    </row>
    <row r="71" spans="1:18" s="194" customFormat="1">
      <c r="A71" s="199"/>
      <c r="B71" s="628" t="s">
        <v>12</v>
      </c>
      <c r="C71" s="629"/>
      <c r="D71" s="629"/>
      <c r="E71" s="630"/>
      <c r="F71" s="628" t="s">
        <v>13</v>
      </c>
      <c r="G71" s="629"/>
      <c r="H71" s="630"/>
      <c r="I71" s="550" t="str">
        <f>IF('Język - Language'!$B$30="Polski","Flat Fee / tydzień","Flat Fee / 1 week")</f>
        <v>Flat Fee / tydzień</v>
      </c>
      <c r="J71" s="197">
        <v>78000</v>
      </c>
      <c r="K71" s="353"/>
      <c r="L71" s="353"/>
      <c r="M71" s="353"/>
      <c r="N71" s="353"/>
      <c r="O71" s="353"/>
      <c r="P71" s="353"/>
      <c r="Q71" s="353"/>
      <c r="R71" s="353"/>
    </row>
    <row r="72" spans="1:18" s="179" customFormat="1">
      <c r="A72" s="199"/>
      <c r="B72" s="540" t="s">
        <v>14</v>
      </c>
      <c r="C72" s="541"/>
      <c r="D72" s="541"/>
      <c r="E72" s="546"/>
      <c r="F72" s="540" t="s">
        <v>15</v>
      </c>
      <c r="G72" s="541"/>
      <c r="H72" s="546"/>
      <c r="I72" s="551"/>
      <c r="J72" s="196">
        <v>105000</v>
      </c>
      <c r="K72" s="353"/>
      <c r="L72" s="353"/>
      <c r="M72" s="353"/>
      <c r="N72" s="353"/>
      <c r="O72" s="353"/>
      <c r="P72" s="353"/>
      <c r="Q72" s="353"/>
      <c r="R72" s="353"/>
    </row>
    <row r="73" spans="1:18" s="179" customFormat="1">
      <c r="A73" s="199"/>
      <c r="B73" s="540" t="s">
        <v>16</v>
      </c>
      <c r="C73" s="541"/>
      <c r="D73" s="541"/>
      <c r="E73" s="546"/>
      <c r="F73" s="540" t="s">
        <v>17</v>
      </c>
      <c r="G73" s="541"/>
      <c r="H73" s="546"/>
      <c r="I73" s="551"/>
      <c r="J73" s="196">
        <v>120000</v>
      </c>
      <c r="K73" s="353"/>
      <c r="L73" s="353"/>
      <c r="M73" s="353"/>
      <c r="N73" s="353"/>
      <c r="O73" s="353"/>
      <c r="P73" s="353"/>
      <c r="Q73" s="353"/>
      <c r="R73" s="353"/>
    </row>
    <row r="74" spans="1:18" s="179" customFormat="1">
      <c r="A74" s="199"/>
      <c r="B74" s="540" t="s">
        <v>18</v>
      </c>
      <c r="C74" s="541"/>
      <c r="D74" s="541"/>
      <c r="E74" s="546"/>
      <c r="F74" s="540" t="s">
        <v>19</v>
      </c>
      <c r="G74" s="541"/>
      <c r="H74" s="546"/>
      <c r="I74" s="551"/>
      <c r="J74" s="195">
        <v>45000</v>
      </c>
      <c r="K74" s="353"/>
      <c r="L74" s="353"/>
      <c r="M74" s="353"/>
      <c r="N74" s="353"/>
      <c r="O74" s="353"/>
      <c r="P74" s="353"/>
      <c r="Q74" s="353"/>
      <c r="R74" s="353"/>
    </row>
    <row r="75" spans="1:18" s="179" customFormat="1">
      <c r="A75" s="199"/>
      <c r="B75" s="556" t="s">
        <v>20</v>
      </c>
      <c r="C75" s="557"/>
      <c r="D75" s="557"/>
      <c r="E75" s="558"/>
      <c r="F75" s="547" t="s">
        <v>21</v>
      </c>
      <c r="G75" s="548"/>
      <c r="H75" s="549"/>
      <c r="I75" s="552"/>
      <c r="J75" s="469">
        <v>52000</v>
      </c>
      <c r="K75" s="353"/>
      <c r="L75" s="353"/>
      <c r="M75" s="353"/>
      <c r="N75" s="353"/>
      <c r="O75" s="353"/>
      <c r="P75" s="353"/>
      <c r="Q75" s="353"/>
      <c r="R75" s="353"/>
    </row>
    <row r="76" spans="1:18" s="179" customFormat="1">
      <c r="A76" s="353"/>
      <c r="B76" s="166" t="str">
        <f>IF('Język - Language'!$B$30="Polski","¹ dopłata do formatu 1200x200 px 25%","¹ Extra charge for 1200x200 px format +25%")</f>
        <v>¹ dopłata do formatu 1200x200 px 25%</v>
      </c>
      <c r="C76" s="173"/>
      <c r="D76" s="173"/>
      <c r="E76" s="173"/>
      <c r="F76" s="190"/>
      <c r="G76" s="190"/>
      <c r="H76" s="173"/>
      <c r="I76" s="173"/>
      <c r="J76" s="174"/>
      <c r="K76" s="353"/>
      <c r="L76" s="353"/>
      <c r="M76" s="353"/>
      <c r="N76" s="353"/>
      <c r="O76" s="353"/>
      <c r="P76" s="353"/>
      <c r="Q76" s="353"/>
      <c r="R76" s="353"/>
    </row>
    <row r="77" spans="1:18" s="179" customFormat="1">
      <c r="A77" s="353"/>
      <c r="B77" s="166" t="str">
        <f>IF('Język - Language'!$B$30="Polski","² Content Box XL +75%","² Content Box XL +75%")</f>
        <v>² Content Box XL +75%</v>
      </c>
      <c r="C77" s="173"/>
      <c r="D77" s="173"/>
      <c r="E77" s="173"/>
      <c r="F77" s="173"/>
      <c r="G77" s="173"/>
      <c r="H77" s="173"/>
      <c r="I77" s="173"/>
      <c r="J77" s="176"/>
      <c r="K77" s="353"/>
      <c r="L77" s="353"/>
      <c r="M77" s="353"/>
      <c r="N77" s="353"/>
      <c r="O77" s="353"/>
      <c r="P77" s="353"/>
      <c r="Q77" s="353"/>
      <c r="R77" s="353"/>
    </row>
    <row r="78" spans="1:18" s="198" customFormat="1">
      <c r="A78" s="353"/>
      <c r="B78" s="206"/>
      <c r="C78" s="353"/>
      <c r="D78" s="353"/>
      <c r="E78" s="353"/>
      <c r="F78" s="353"/>
      <c r="G78" s="353"/>
      <c r="H78" s="353"/>
      <c r="I78" s="353"/>
      <c r="J78" s="353"/>
      <c r="K78" s="353"/>
      <c r="L78" s="353"/>
      <c r="M78" s="353"/>
      <c r="N78" s="353"/>
      <c r="O78" s="353"/>
      <c r="P78" s="353"/>
      <c r="Q78" s="353"/>
      <c r="R78" s="353"/>
    </row>
    <row r="79" spans="1:18" s="198" customFormat="1">
      <c r="A79" s="353"/>
      <c r="B79" s="206"/>
      <c r="C79" s="353"/>
      <c r="D79" s="353"/>
      <c r="E79" s="353"/>
      <c r="F79" s="353"/>
      <c r="G79" s="353"/>
      <c r="H79" s="353"/>
      <c r="I79" s="353"/>
      <c r="J79" s="353"/>
      <c r="K79" s="353"/>
      <c r="L79" s="353"/>
      <c r="M79" s="353"/>
      <c r="N79" s="353"/>
      <c r="O79" s="353"/>
      <c r="P79" s="353"/>
      <c r="Q79" s="353"/>
      <c r="R79" s="353"/>
    </row>
    <row r="80" spans="1:18" s="198" customFormat="1" ht="25.5" customHeight="1">
      <c r="A80" s="353"/>
      <c r="B80" s="555" t="s">
        <v>22</v>
      </c>
      <c r="C80" s="555"/>
      <c r="D80" s="555"/>
      <c r="E80" s="555"/>
      <c r="F80" s="555" t="s">
        <v>23</v>
      </c>
      <c r="G80" s="555"/>
      <c r="H80" s="555"/>
      <c r="I80" s="436" t="s">
        <v>24</v>
      </c>
      <c r="J80" s="230" t="s">
        <v>25</v>
      </c>
      <c r="K80" s="353"/>
      <c r="L80" s="353"/>
      <c r="M80" s="353"/>
      <c r="N80" s="353"/>
      <c r="O80" s="353"/>
      <c r="P80" s="353"/>
      <c r="Q80" s="353"/>
      <c r="R80" s="353"/>
    </row>
    <row r="81" spans="1:18" s="198" customFormat="1">
      <c r="A81" s="199"/>
      <c r="B81" s="580" t="str">
        <f>IF('Język - Language'!$B$30="Polski","Content Box","Content Box")</f>
        <v>Content Box</v>
      </c>
      <c r="C81" s="581"/>
      <c r="D81" s="581"/>
      <c r="E81" s="582"/>
      <c r="F81" s="580" t="str">
        <f>IF('Język - Language'!$B$30="Polski","Rectangle","Rectangle")</f>
        <v>Rectangle</v>
      </c>
      <c r="G81" s="581"/>
      <c r="H81" s="582"/>
      <c r="I81" s="229" t="str">
        <f>IF('Język - Language'!$B$30="Polski","Flat Fee / dzień","Flat Fee / 24 h")</f>
        <v>Flat Fee / dzień</v>
      </c>
      <c r="J81" s="193">
        <v>20000</v>
      </c>
      <c r="K81" s="353"/>
      <c r="L81" s="353"/>
      <c r="M81" s="353"/>
      <c r="N81" s="353"/>
      <c r="O81" s="353"/>
      <c r="P81" s="353"/>
      <c r="Q81" s="353"/>
      <c r="R81" s="353"/>
    </row>
    <row r="82" spans="1:18" s="198" customFormat="1">
      <c r="A82" s="199"/>
      <c r="B82" s="580"/>
      <c r="C82" s="581"/>
      <c r="D82" s="581"/>
      <c r="E82" s="582"/>
      <c r="F82" s="580"/>
      <c r="G82" s="581"/>
      <c r="H82" s="582"/>
      <c r="I82" s="458" t="str">
        <f>IF('Język - Language'!$B$30="Polski","Flat Fee / tydzień","Flat Fee / 1 week")</f>
        <v>Flat Fee / tydzień</v>
      </c>
      <c r="J82" s="192">
        <v>100000</v>
      </c>
      <c r="K82" s="353"/>
      <c r="L82" s="353"/>
      <c r="M82" s="353"/>
      <c r="N82" s="353"/>
      <c r="O82" s="353"/>
      <c r="P82" s="353"/>
      <c r="Q82" s="353"/>
      <c r="R82" s="353"/>
    </row>
    <row r="83" spans="1:18" s="198" customFormat="1" ht="25.5" customHeight="1">
      <c r="A83" s="353"/>
      <c r="B83" s="555" t="s">
        <v>26</v>
      </c>
      <c r="C83" s="555"/>
      <c r="D83" s="555"/>
      <c r="E83" s="555"/>
      <c r="F83" s="555" t="s">
        <v>27</v>
      </c>
      <c r="G83" s="555"/>
      <c r="H83" s="555"/>
      <c r="I83" s="436" t="s">
        <v>24</v>
      </c>
      <c r="J83" s="230" t="s">
        <v>25</v>
      </c>
      <c r="K83" s="353"/>
      <c r="L83" s="353"/>
      <c r="M83" s="353"/>
      <c r="N83" s="353"/>
      <c r="O83" s="353"/>
      <c r="P83" s="353"/>
      <c r="Q83" s="353"/>
      <c r="R83" s="353"/>
    </row>
    <row r="84" spans="1:18" s="198" customFormat="1" ht="25.5" customHeight="1">
      <c r="A84" s="199"/>
      <c r="B84" s="625" t="str">
        <f>IF('Język - Language'!$B$30="Polski","Double Billboard","Double Billboard")</f>
        <v>Double Billboard</v>
      </c>
      <c r="C84" s="626"/>
      <c r="D84" s="626"/>
      <c r="E84" s="627"/>
      <c r="F84" s="625" t="str">
        <f>IF('Język - Language'!$B$30="Polski","Banner górny","Upper Banner")</f>
        <v>Banner górny</v>
      </c>
      <c r="G84" s="626"/>
      <c r="H84" s="627"/>
      <c r="I84" s="455" t="str">
        <f>IF('Język - Language'!$B$30="Polski","Flat Fee / dzień","Flat Fee / 24 h")</f>
        <v>Flat Fee / dzień</v>
      </c>
      <c r="J84" s="191">
        <v>160000</v>
      </c>
      <c r="K84" s="353"/>
      <c r="L84" s="353"/>
      <c r="M84" s="353"/>
      <c r="N84" s="353"/>
      <c r="O84" s="353"/>
      <c r="P84" s="353"/>
      <c r="Q84" s="353"/>
      <c r="R84" s="353"/>
    </row>
    <row r="85" spans="1:18" s="353" customFormat="1" ht="12.75" customHeight="1">
      <c r="A85" s="341"/>
      <c r="B85" s="368"/>
      <c r="C85" s="368"/>
      <c r="D85" s="368"/>
      <c r="E85" s="368"/>
      <c r="F85" s="368"/>
      <c r="G85" s="368"/>
      <c r="H85" s="368"/>
      <c r="I85" s="368"/>
      <c r="J85" s="377"/>
    </row>
    <row r="86" spans="1:18" s="353" customFormat="1" ht="12.75" customHeight="1">
      <c r="A86" s="341"/>
      <c r="B86" s="368"/>
      <c r="C86" s="368"/>
      <c r="D86" s="368"/>
      <c r="E86" s="368"/>
      <c r="F86" s="368"/>
      <c r="G86" s="368"/>
      <c r="H86" s="368"/>
      <c r="I86" s="368"/>
      <c r="J86" s="377"/>
    </row>
    <row r="87" spans="1:18" s="353" customFormat="1" ht="12.75" customHeight="1">
      <c r="A87" s="341"/>
      <c r="B87" s="368"/>
      <c r="C87" s="368"/>
      <c r="D87" s="368"/>
      <c r="E87" s="368"/>
      <c r="F87" s="368"/>
      <c r="G87" s="368"/>
      <c r="H87" s="368"/>
      <c r="I87" s="368"/>
      <c r="J87" s="377"/>
    </row>
    <row r="88" spans="1:18" s="353" customFormat="1" ht="25.5" customHeight="1">
      <c r="A88" s="341"/>
      <c r="B88" s="656" t="s">
        <v>28</v>
      </c>
      <c r="C88" s="656"/>
      <c r="D88" s="656"/>
      <c r="E88" s="656"/>
      <c r="F88" s="656" t="s">
        <v>29</v>
      </c>
      <c r="G88" s="656"/>
      <c r="H88" s="656"/>
      <c r="I88" s="434" t="s">
        <v>24</v>
      </c>
      <c r="J88" s="380" t="s">
        <v>25</v>
      </c>
    </row>
    <row r="89" spans="1:18" s="353" customFormat="1" ht="12.75" customHeight="1">
      <c r="A89" s="199"/>
      <c r="B89" s="657" t="s">
        <v>30</v>
      </c>
      <c r="C89" s="658"/>
      <c r="D89" s="658"/>
      <c r="E89" s="659"/>
      <c r="F89" s="657" t="s">
        <v>31</v>
      </c>
      <c r="G89" s="658"/>
      <c r="H89" s="659"/>
      <c r="I89" s="378" t="s">
        <v>32</v>
      </c>
      <c r="J89" s="379">
        <v>25000</v>
      </c>
    </row>
    <row r="90" spans="1:18" s="353" customFormat="1" ht="12.75" customHeight="1">
      <c r="A90" s="199"/>
      <c r="B90" s="660"/>
      <c r="C90" s="661"/>
      <c r="D90" s="661"/>
      <c r="E90" s="662"/>
      <c r="F90" s="660"/>
      <c r="G90" s="661"/>
      <c r="H90" s="662"/>
      <c r="I90" s="456" t="s">
        <v>33</v>
      </c>
      <c r="J90" s="193">
        <v>140000</v>
      </c>
    </row>
    <row r="91" spans="1:18" s="353" customFormat="1" ht="12.75" customHeight="1">
      <c r="A91" s="199"/>
      <c r="B91" s="580" t="s">
        <v>34</v>
      </c>
      <c r="C91" s="581"/>
      <c r="D91" s="581"/>
      <c r="E91" s="582"/>
      <c r="F91" s="663" t="s">
        <v>35</v>
      </c>
      <c r="G91" s="664"/>
      <c r="H91" s="665"/>
      <c r="I91" s="381" t="s">
        <v>32</v>
      </c>
      <c r="J91" s="459">
        <v>15000</v>
      </c>
    </row>
    <row r="92" spans="1:18" s="353" customFormat="1" ht="12.75" customHeight="1">
      <c r="A92" s="199"/>
      <c r="B92" s="625"/>
      <c r="C92" s="626"/>
      <c r="D92" s="626"/>
      <c r="E92" s="627"/>
      <c r="F92" s="625"/>
      <c r="G92" s="626"/>
      <c r="H92" s="627"/>
      <c r="I92" s="455" t="s">
        <v>33</v>
      </c>
      <c r="J92" s="191">
        <v>90000</v>
      </c>
    </row>
    <row r="93" spans="1:18" s="198" customFormat="1">
      <c r="A93" s="353"/>
      <c r="B93" s="206"/>
      <c r="C93" s="353"/>
      <c r="D93" s="353"/>
      <c r="E93" s="353"/>
      <c r="F93" s="353"/>
      <c r="G93" s="353"/>
      <c r="H93" s="353"/>
      <c r="I93" s="353"/>
      <c r="J93" s="353"/>
      <c r="K93" s="353"/>
      <c r="L93" s="353"/>
      <c r="M93" s="353"/>
      <c r="N93" s="353"/>
      <c r="O93" s="353"/>
      <c r="P93" s="353"/>
      <c r="Q93" s="353"/>
      <c r="R93" s="353"/>
    </row>
    <row r="95" spans="1:18" s="68" customFormat="1" ht="22.35" customHeight="1">
      <c r="A95" s="353"/>
      <c r="B95" s="177"/>
      <c r="C95" s="553" t="str">
        <f>IF('Język - Language'!$B$30="Polski","DNIÓWKI TEMATYCZNE","DAILY THEMATIC EMISSION")</f>
        <v>DNIÓWKI TEMATYCZNE</v>
      </c>
      <c r="D95" s="553" t="str">
        <f>IF('Język - Language'!$B$30="Polski","MIEJSCE EMISJI","PLACE OF EMISSION")</f>
        <v>MIEJSCE EMISJI</v>
      </c>
      <c r="E95" s="553"/>
      <c r="F95" s="553" t="str">
        <f>IF('Język - Language'!$B$30="Polski","MODEL EMISJI","MODEL OF EMISSION")</f>
        <v>MODEL EMISJI</v>
      </c>
      <c r="G95" s="553" t="str">
        <f>IF('Język - Language'!$B$30="Polski","DOUBLE BILLBOARD, HALFPAGE (DESKTOP/TABLET)","DOUBLE BILLBOARD, HALFPAGE (DESKTOP/TABLET)")</f>
        <v>DOUBLE BILLBOARD, HALFPAGE (DESKTOP/TABLET)</v>
      </c>
      <c r="H95" s="553"/>
      <c r="I95" s="553" t="str">
        <f>IF('Język - Language'!$B$30="Polski","SCREENING 200 + DOUBLE BILLBOARD (DESKTOP/TABLET)","SCREENING 200 + DOUBLE BILLBOARD (DESKTOP/TABLET)")</f>
        <v>SCREENING 200 + DOUBLE BILLBOARD (DESKTOP/TABLET)</v>
      </c>
      <c r="J95" s="559"/>
      <c r="K95" s="353"/>
      <c r="L95" s="21"/>
      <c r="M95" s="6"/>
      <c r="N95" s="29"/>
      <c r="O95" s="341"/>
      <c r="P95" s="341"/>
      <c r="Q95" s="341"/>
      <c r="R95" s="353"/>
    </row>
    <row r="96" spans="1:18" s="135" customFormat="1" ht="16.350000000000001" customHeight="1">
      <c r="A96" s="353"/>
      <c r="B96" s="178"/>
      <c r="C96" s="554"/>
      <c r="D96" s="554"/>
      <c r="E96" s="554"/>
      <c r="F96" s="554"/>
      <c r="G96" s="562" t="str">
        <f>IF('Język - Language'!$B$30="Polski","BANNER GÓRNY (MOBILE)","UPPER BANNER (MOBILE)")</f>
        <v>BANNER GÓRNY (MOBILE)</v>
      </c>
      <c r="H96" s="562"/>
      <c r="I96" s="562" t="str">
        <f>IF('Język - Language'!$B$30="Polski","SCREENING LUB BANNER XL (MOBILE)²","SCREENING OR BANNER XL (MOBILE)²")</f>
        <v>SCREENING LUB BANNER XL (MOBILE)²</v>
      </c>
      <c r="J96" s="563"/>
      <c r="K96" s="353"/>
      <c r="L96" s="21"/>
      <c r="M96" s="6"/>
      <c r="N96" s="29"/>
      <c r="O96" s="341"/>
      <c r="P96" s="341"/>
      <c r="Q96" s="341"/>
      <c r="R96" s="353"/>
    </row>
    <row r="97" spans="1:18" s="101" customFormat="1" ht="48" customHeight="1">
      <c r="A97" s="353"/>
      <c r="B97" s="560" t="str">
        <f>IF('Język - Language'!$B$30="Polski","Serwisy Premium","Premium Sites")</f>
        <v>Serwisy Premium</v>
      </c>
      <c r="C97" s="561"/>
      <c r="D97" s="560" t="s">
        <v>36</v>
      </c>
      <c r="E97" s="647"/>
      <c r="F97" s="180" t="str">
        <f>IF('Język - Language'!$B$30="Polski","łączny cap3xuu / dzień","cap3xuu (total 3 page views / day)")</f>
        <v>łączny cap3xuu / dzień</v>
      </c>
      <c r="G97" s="564" t="str">
        <f>IF('Język - Language'!$B$30="Polski",CONCATENATE("225 000 PLN dzień powszedni",CHAR(10),CHAR(10),"180 000 PLN dzień weekendowy"),CONCATENATE("225 000 PLN - workday",CHAR(10),CHAR(10),"180 000 PLN - weekend"))</f>
        <v>225 000 PLN dzień powszedni
180 000 PLN dzień weekendowy</v>
      </c>
      <c r="H97" s="565"/>
      <c r="I97" s="564" t="str">
        <f>IF('Język - Language'!$B$30="Polski",CONCATENATE("275 000 PLN dzień powszedni",CHAR(10),CHAR(10),"225 000 PLN dzień weekendowy"),CONCATENATE("275 000 PLN - workday",CHAR(10),CHAR(10),"225 000 PLN - weekend"))</f>
        <v>275 000 PLN dzień powszedni
225 000 PLN dzień weekendowy</v>
      </c>
      <c r="J97" s="565"/>
      <c r="K97" s="353"/>
      <c r="L97" s="19"/>
      <c r="M97" s="6"/>
      <c r="N97" s="29"/>
      <c r="O97" s="341"/>
      <c r="P97" s="341"/>
      <c r="Q97" s="341"/>
      <c r="R97" s="353"/>
    </row>
    <row r="98" spans="1:18" s="68" customFormat="1" ht="12.75" customHeight="1">
      <c r="A98" s="353"/>
      <c r="B98" s="540" t="str">
        <f>IF('Język - Language'!$B$30="Polski","Biznes","Business")</f>
        <v>Biznes</v>
      </c>
      <c r="C98" s="546"/>
      <c r="D98" s="540" t="s">
        <v>37</v>
      </c>
      <c r="E98" s="546"/>
      <c r="F98" s="464" t="str">
        <f>IF('Język - Language'!$B$30="Polski","łączny cap3xuu / dzień","cap3xuu (total 3 page views / day)")</f>
        <v>łączny cap3xuu / dzień</v>
      </c>
      <c r="G98" s="544">
        <v>180000</v>
      </c>
      <c r="H98" s="545"/>
      <c r="I98" s="544">
        <v>240000</v>
      </c>
      <c r="J98" s="545"/>
      <c r="K98" s="353"/>
      <c r="L98" s="19"/>
      <c r="M98" s="6"/>
      <c r="N98" s="29"/>
      <c r="O98" s="341"/>
      <c r="P98" s="341"/>
      <c r="Q98" s="341"/>
      <c r="R98" s="353"/>
    </row>
    <row r="99" spans="1:18" s="68" customFormat="1" ht="12.75" customHeight="1">
      <c r="B99" s="540" t="str">
        <f>IF('Język - Language'!$B$30="Polski","Wiadomości","News")</f>
        <v>Wiadomości</v>
      </c>
      <c r="C99" s="546"/>
      <c r="D99" s="540" t="s">
        <v>38</v>
      </c>
      <c r="E99" s="546"/>
      <c r="F99" s="323" t="str">
        <f>IF('Język - Language'!$B$30="Polski","łączny cap3xuu / dzień","cap3xuu (total 3 page views / day)")</f>
        <v>łączny cap3xuu / dzień</v>
      </c>
      <c r="G99" s="544">
        <v>160000</v>
      </c>
      <c r="H99" s="545"/>
      <c r="I99" s="544">
        <v>210000</v>
      </c>
      <c r="J99" s="545"/>
      <c r="K99" s="353"/>
      <c r="L99" s="19"/>
      <c r="M99" s="6"/>
      <c r="N99" s="29"/>
      <c r="O99" s="341"/>
      <c r="P99" s="341"/>
    </row>
    <row r="100" spans="1:18" s="68" customFormat="1" ht="12.75" customHeight="1">
      <c r="B100" s="540" t="str">
        <f>IF('Język - Language'!$B$30="Polski","Motoryzacja","Moto")</f>
        <v>Motoryzacja</v>
      </c>
      <c r="C100" s="546"/>
      <c r="D100" s="540" t="s">
        <v>39</v>
      </c>
      <c r="E100" s="541"/>
      <c r="F100" s="181" t="str">
        <f>IF('Język - Language'!$B$30="Polski","łączny cap3xuu / dzień","cap3xuu (total 3 page views / day)")</f>
        <v>łączny cap3xuu / dzień</v>
      </c>
      <c r="G100" s="544">
        <v>30000</v>
      </c>
      <c r="H100" s="545"/>
      <c r="I100" s="544">
        <v>40000</v>
      </c>
      <c r="J100" s="545"/>
      <c r="K100" s="353"/>
      <c r="L100" s="19"/>
      <c r="M100" s="6"/>
      <c r="N100" s="29"/>
      <c r="O100" s="341"/>
      <c r="P100" s="341"/>
    </row>
    <row r="101" spans="1:18" s="283" customFormat="1" ht="25.5" customHeight="1">
      <c r="B101" s="540" t="s">
        <v>40</v>
      </c>
      <c r="C101" s="546"/>
      <c r="D101" s="540" t="s">
        <v>41</v>
      </c>
      <c r="E101" s="546"/>
      <c r="F101" s="181" t="s">
        <v>42</v>
      </c>
      <c r="G101" s="544">
        <v>50000</v>
      </c>
      <c r="H101" s="545"/>
      <c r="I101" s="544">
        <v>80000</v>
      </c>
      <c r="J101" s="545"/>
      <c r="K101" s="353"/>
      <c r="L101" s="19"/>
      <c r="M101" s="6"/>
      <c r="N101" s="29"/>
      <c r="O101" s="341"/>
      <c r="P101" s="341"/>
    </row>
    <row r="102" spans="1:18" s="68" customFormat="1" ht="12.75" customHeight="1">
      <c r="B102" s="540" t="str">
        <f>IF('Język - Language'!$B$30="Polski","Kobieta","Woman")</f>
        <v>Kobieta</v>
      </c>
      <c r="C102" s="546"/>
      <c r="D102" s="540" t="s">
        <v>43</v>
      </c>
      <c r="E102" s="541"/>
      <c r="F102" s="181" t="str">
        <f>IF('Język - Language'!$B$30="Polski","łączny cap3xuu / dzień","cap3xuu (total 3 page views / day)")</f>
        <v>łączny cap3xuu / dzień</v>
      </c>
      <c r="G102" s="544">
        <v>70000</v>
      </c>
      <c r="H102" s="545"/>
      <c r="I102" s="544">
        <v>93000</v>
      </c>
      <c r="J102" s="545"/>
      <c r="K102" s="353"/>
      <c r="L102" s="19"/>
      <c r="M102" s="6"/>
      <c r="N102" s="29"/>
      <c r="O102" s="30"/>
      <c r="P102" s="5"/>
    </row>
    <row r="103" spans="1:18" s="134" customFormat="1" ht="12.75" customHeight="1">
      <c r="B103" s="540" t="str">
        <f>IF('Język - Language'!$B$30="Polski","Zdrowie ","Health")</f>
        <v xml:space="preserve">Zdrowie </v>
      </c>
      <c r="C103" s="546"/>
      <c r="D103" s="540" t="s">
        <v>44</v>
      </c>
      <c r="E103" s="541"/>
      <c r="F103" s="181" t="str">
        <f>IF('Język - Language'!$B$30="Polski","łączny cap3xuu / dzień","cap3xuu (total 3 page views / day)")</f>
        <v>łączny cap3xuu / dzień</v>
      </c>
      <c r="G103" s="544">
        <v>150000</v>
      </c>
      <c r="H103" s="545"/>
      <c r="I103" s="544">
        <v>195000</v>
      </c>
      <c r="J103" s="545"/>
      <c r="K103" s="353"/>
      <c r="L103" s="19"/>
      <c r="M103" s="6"/>
      <c r="N103" s="29"/>
      <c r="O103" s="30"/>
      <c r="P103" s="5"/>
    </row>
    <row r="104" spans="1:18" s="68" customFormat="1" ht="12.75" customHeight="1">
      <c r="B104" s="540" t="str">
        <f>IF('Język - Language'!$B$30="Polski","Sport","Sport ")</f>
        <v>Sport</v>
      </c>
      <c r="C104" s="546"/>
      <c r="D104" s="540" t="s">
        <v>45</v>
      </c>
      <c r="E104" s="541"/>
      <c r="F104" s="181" t="str">
        <f>IF('Język - Language'!$B$30="Polski","łączny cap3xuu / dzień","cap3xuu (total 3 page views / day)")</f>
        <v>łączny cap3xuu / dzień</v>
      </c>
      <c r="G104" s="544">
        <v>120000</v>
      </c>
      <c r="H104" s="545"/>
      <c r="I104" s="544">
        <v>155000</v>
      </c>
      <c r="J104" s="545"/>
      <c r="K104" s="353"/>
      <c r="L104" s="19"/>
      <c r="M104" s="6"/>
      <c r="N104" s="29"/>
      <c r="O104" s="6"/>
      <c r="P104" s="49"/>
    </row>
    <row r="105" spans="1:18" s="283" customFormat="1" ht="12.75" customHeight="1">
      <c r="B105" s="540" t="s">
        <v>46</v>
      </c>
      <c r="C105" s="546"/>
      <c r="D105" s="540" t="s">
        <v>47</v>
      </c>
      <c r="E105" s="541"/>
      <c r="F105" s="181" t="s">
        <v>42</v>
      </c>
      <c r="G105" s="544">
        <v>115000</v>
      </c>
      <c r="H105" s="545"/>
      <c r="I105" s="544">
        <v>150000</v>
      </c>
      <c r="J105" s="545"/>
      <c r="K105" s="353"/>
      <c r="L105" s="19"/>
      <c r="M105" s="6"/>
      <c r="N105" s="29"/>
      <c r="O105" s="341"/>
      <c r="P105" s="341"/>
    </row>
    <row r="106" spans="1:18" s="68" customFormat="1" ht="12.75" customHeight="1">
      <c r="B106" s="547" t="str">
        <f>IF('Język - Language'!$B$30="Polski","Turystyka","Travel")</f>
        <v>Turystyka</v>
      </c>
      <c r="C106" s="549"/>
      <c r="D106" s="547" t="s">
        <v>48</v>
      </c>
      <c r="E106" s="548"/>
      <c r="F106" s="182" t="str">
        <f>IF('Język - Language'!$B$30="Polski","łączny cap3xuu / dzień","cap3xuu (total 3 page views / day)")</f>
        <v>łączny cap3xuu / dzień</v>
      </c>
      <c r="G106" s="542">
        <v>20000</v>
      </c>
      <c r="H106" s="543"/>
      <c r="I106" s="542">
        <v>25000</v>
      </c>
      <c r="J106" s="543"/>
      <c r="K106" s="353"/>
      <c r="L106" s="19"/>
      <c r="M106" s="81"/>
      <c r="N106" s="341"/>
      <c r="O106" s="341"/>
      <c r="P106" s="341"/>
    </row>
    <row r="107" spans="1:18">
      <c r="B107" s="169" t="str">
        <f>IF('Język - Language'!$B$30="Polski","¹ emisja z wyłączeniem SG Pudelek","¹ emission without HP Pudelek")</f>
        <v>¹ emisja z wyłączeniem SG Pudelek</v>
      </c>
      <c r="C107" s="168"/>
      <c r="D107" s="168"/>
      <c r="E107" s="168"/>
      <c r="F107" s="168"/>
      <c r="G107" s="168"/>
      <c r="H107" s="168"/>
      <c r="I107" s="168"/>
      <c r="J107" s="175"/>
      <c r="K107" s="353"/>
      <c r="L107" s="353"/>
      <c r="M107" s="353"/>
      <c r="N107" s="353"/>
      <c r="O107" s="353"/>
      <c r="P107" s="353"/>
    </row>
    <row r="108" spans="1:18">
      <c r="B108" s="168" t="str">
        <f>IF('Język - Language'!$B$30="Polski","² format dostępny na wybranych serwisach mobile: pudelek, money.pl, sportowefakty, o2, serwisy pako, abczdrowie i parenting (tylko strony artykułowe)","² available on the selected mobile services")</f>
        <v>² format dostępny na wybranych serwisach mobile: pudelek, money.pl, sportowefakty, o2, serwisy pako, abczdrowie i parenting (tylko strony artykułowe)</v>
      </c>
      <c r="C108" s="173"/>
      <c r="D108" s="173"/>
      <c r="E108" s="173"/>
      <c r="F108" s="173"/>
      <c r="G108" s="173"/>
      <c r="H108" s="173"/>
      <c r="I108" s="173"/>
      <c r="J108" s="176"/>
      <c r="K108" s="353"/>
      <c r="L108" s="353"/>
      <c r="M108" s="353"/>
      <c r="N108" s="353"/>
      <c r="O108" s="353"/>
      <c r="P108" s="353"/>
    </row>
  </sheetData>
  <mergeCells count="180">
    <mergeCell ref="B101:C101"/>
    <mergeCell ref="D101:E101"/>
    <mergeCell ref="G1:J3"/>
    <mergeCell ref="B88:E88"/>
    <mergeCell ref="F88:H88"/>
    <mergeCell ref="B91:E92"/>
    <mergeCell ref="B89:E90"/>
    <mergeCell ref="F89:H90"/>
    <mergeCell ref="F91:H92"/>
    <mergeCell ref="F80:H80"/>
    <mergeCell ref="F66:H66"/>
    <mergeCell ref="B46:E46"/>
    <mergeCell ref="F9:H9"/>
    <mergeCell ref="F13:H13"/>
    <mergeCell ref="F25:H25"/>
    <mergeCell ref="G95:H95"/>
    <mergeCell ref="F81:H82"/>
    <mergeCell ref="C7:E8"/>
    <mergeCell ref="C29:E29"/>
    <mergeCell ref="C30:E30"/>
    <mergeCell ref="C31:E31"/>
    <mergeCell ref="F62:H62"/>
    <mergeCell ref="F49:H49"/>
    <mergeCell ref="B64:E64"/>
    <mergeCell ref="B65:E65"/>
    <mergeCell ref="B62:E62"/>
    <mergeCell ref="C32:E32"/>
    <mergeCell ref="C14:E14"/>
    <mergeCell ref="C21:E21"/>
    <mergeCell ref="B100:C100"/>
    <mergeCell ref="C25:E25"/>
    <mergeCell ref="C17:E17"/>
    <mergeCell ref="B73:E73"/>
    <mergeCell ref="B48:E48"/>
    <mergeCell ref="B52:E52"/>
    <mergeCell ref="B41:E42"/>
    <mergeCell ref="B84:E84"/>
    <mergeCell ref="B99:C99"/>
    <mergeCell ref="B98:C98"/>
    <mergeCell ref="D97:E97"/>
    <mergeCell ref="C95:C96"/>
    <mergeCell ref="C9:E9"/>
    <mergeCell ref="F7:H8"/>
    <mergeCell ref="C12:E12"/>
    <mergeCell ref="C27:E27"/>
    <mergeCell ref="F26:H26"/>
    <mergeCell ref="F35:H35"/>
    <mergeCell ref="F32:H32"/>
    <mergeCell ref="C34:E34"/>
    <mergeCell ref="F31:H31"/>
    <mergeCell ref="F21:H21"/>
    <mergeCell ref="C19:J19"/>
    <mergeCell ref="C26:E26"/>
    <mergeCell ref="F34:H34"/>
    <mergeCell ref="C28:E28"/>
    <mergeCell ref="J15:J16"/>
    <mergeCell ref="F24:H24"/>
    <mergeCell ref="C15:E15"/>
    <mergeCell ref="I7:J7"/>
    <mergeCell ref="C33:E33"/>
    <mergeCell ref="F33:H33"/>
    <mergeCell ref="F10:H10"/>
    <mergeCell ref="C10:E11"/>
    <mergeCell ref="F11:H11"/>
    <mergeCell ref="I33:J33"/>
    <mergeCell ref="I15:I16"/>
    <mergeCell ref="F22:H22"/>
    <mergeCell ref="F14:H14"/>
    <mergeCell ref="J60:J61"/>
    <mergeCell ref="I60:I61"/>
    <mergeCell ref="F64:H64"/>
    <mergeCell ref="F65:H65"/>
    <mergeCell ref="F60:H61"/>
    <mergeCell ref="F63:H63"/>
    <mergeCell ref="I36:J36"/>
    <mergeCell ref="J41:J42"/>
    <mergeCell ref="I41:I42"/>
    <mergeCell ref="I43:I52"/>
    <mergeCell ref="F51:H51"/>
    <mergeCell ref="F47:H47"/>
    <mergeCell ref="I62:I66"/>
    <mergeCell ref="F45:H45"/>
    <mergeCell ref="I34:J34"/>
    <mergeCell ref="I35:J35"/>
    <mergeCell ref="F46:H46"/>
    <mergeCell ref="F41:H42"/>
    <mergeCell ref="F44:H44"/>
    <mergeCell ref="F48:H48"/>
    <mergeCell ref="G96:H96"/>
    <mergeCell ref="F15:H16"/>
    <mergeCell ref="C22:E22"/>
    <mergeCell ref="B20:B23"/>
    <mergeCell ref="F20:H20"/>
    <mergeCell ref="B60:E61"/>
    <mergeCell ref="B45:E45"/>
    <mergeCell ref="G97:H97"/>
    <mergeCell ref="B70:E70"/>
    <mergeCell ref="F72:H72"/>
    <mergeCell ref="F73:H73"/>
    <mergeCell ref="F70:H70"/>
    <mergeCell ref="B72:E72"/>
    <mergeCell ref="B51:E51"/>
    <mergeCell ref="C35:E35"/>
    <mergeCell ref="C36:E36"/>
    <mergeCell ref="F30:H30"/>
    <mergeCell ref="F75:H75"/>
    <mergeCell ref="F84:H84"/>
    <mergeCell ref="F83:H83"/>
    <mergeCell ref="C24:E24"/>
    <mergeCell ref="F71:H71"/>
    <mergeCell ref="B71:E71"/>
    <mergeCell ref="F50:H50"/>
    <mergeCell ref="F12:H12"/>
    <mergeCell ref="B63:E63"/>
    <mergeCell ref="B12:B19"/>
    <mergeCell ref="C23:J23"/>
    <mergeCell ref="C20:E20"/>
    <mergeCell ref="B50:E50"/>
    <mergeCell ref="B81:E82"/>
    <mergeCell ref="C18:E18"/>
    <mergeCell ref="C16:E16"/>
    <mergeCell ref="F28:H28"/>
    <mergeCell ref="B66:E66"/>
    <mergeCell ref="B43:E43"/>
    <mergeCell ref="F52:H52"/>
    <mergeCell ref="B24:B33"/>
    <mergeCell ref="B34:B36"/>
    <mergeCell ref="B49:E49"/>
    <mergeCell ref="F27:H27"/>
    <mergeCell ref="F43:H43"/>
    <mergeCell ref="B44:E44"/>
    <mergeCell ref="B47:E47"/>
    <mergeCell ref="F36:H36"/>
    <mergeCell ref="F29:H29"/>
    <mergeCell ref="F17:H17"/>
    <mergeCell ref="F18:H18"/>
    <mergeCell ref="C13:E13"/>
    <mergeCell ref="D98:E98"/>
    <mergeCell ref="I99:J99"/>
    <mergeCell ref="D100:E100"/>
    <mergeCell ref="I98:J98"/>
    <mergeCell ref="G101:H101"/>
    <mergeCell ref="I101:J101"/>
    <mergeCell ref="I100:J100"/>
    <mergeCell ref="G98:H98"/>
    <mergeCell ref="G99:H99"/>
    <mergeCell ref="G100:H100"/>
    <mergeCell ref="I71:I75"/>
    <mergeCell ref="F95:F96"/>
    <mergeCell ref="B74:E74"/>
    <mergeCell ref="B80:E80"/>
    <mergeCell ref="B75:E75"/>
    <mergeCell ref="B83:E83"/>
    <mergeCell ref="F74:H74"/>
    <mergeCell ref="D95:E96"/>
    <mergeCell ref="D99:E99"/>
    <mergeCell ref="I95:J95"/>
    <mergeCell ref="B97:C97"/>
    <mergeCell ref="I96:J96"/>
    <mergeCell ref="I97:J97"/>
    <mergeCell ref="D103:E103"/>
    <mergeCell ref="D102:E102"/>
    <mergeCell ref="G106:H106"/>
    <mergeCell ref="I104:J104"/>
    <mergeCell ref="I103:J103"/>
    <mergeCell ref="G102:H102"/>
    <mergeCell ref="I106:J106"/>
    <mergeCell ref="I105:J105"/>
    <mergeCell ref="B102:C102"/>
    <mergeCell ref="B104:C104"/>
    <mergeCell ref="G104:H104"/>
    <mergeCell ref="D106:E106"/>
    <mergeCell ref="G103:H103"/>
    <mergeCell ref="I102:J102"/>
    <mergeCell ref="B106:C106"/>
    <mergeCell ref="B103:C103"/>
    <mergeCell ref="B105:C105"/>
    <mergeCell ref="D104:E104"/>
    <mergeCell ref="D105:E105"/>
    <mergeCell ref="G105:H105"/>
  </mergeCells>
  <pageMargins left="0.7" right="0.7" top="0.75" bottom="0.75" header="0.3" footer="0.3"/>
  <pageSetup paperSize="2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O66"/>
  <sheetViews>
    <sheetView zoomScaleNormal="100" workbookViewId="0">
      <pane ySplit="4" topLeftCell="A5" activePane="bottomLeft" state="frozen"/>
      <selection pane="bottomLeft"/>
    </sheetView>
  </sheetViews>
  <sheetFormatPr defaultColWidth="9.140625" defaultRowHeight="15"/>
  <cols>
    <col min="1" max="2" width="2.85546875" style="354" customWidth="1"/>
    <col min="3" max="3" width="21.42578125" style="354" customWidth="1"/>
    <col min="4" max="4" width="7.140625" style="354" customWidth="1"/>
    <col min="5" max="5" width="25.140625" style="354" customWidth="1"/>
    <col min="6" max="13" width="10" style="354" customWidth="1"/>
    <col min="14" max="15" width="12.85546875" style="354" customWidth="1"/>
    <col min="16" max="16384" width="9.140625" style="354"/>
  </cols>
  <sheetData>
    <row r="1" spans="2:13" ht="12.75" customHeight="1">
      <c r="F1" s="355"/>
      <c r="G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23"/>
      <c r="I1" s="523"/>
      <c r="J1" s="523"/>
      <c r="K1" s="523"/>
      <c r="L1" s="523"/>
      <c r="M1" s="523"/>
    </row>
    <row r="2" spans="2:13" ht="12.75" customHeight="1">
      <c r="E2" s="355"/>
      <c r="F2" s="355"/>
      <c r="G2" s="523"/>
      <c r="H2" s="523"/>
      <c r="I2" s="523"/>
      <c r="J2" s="523"/>
      <c r="K2" s="523"/>
      <c r="L2" s="523"/>
      <c r="M2" s="523"/>
    </row>
    <row r="3" spans="2:13" ht="12.75" customHeight="1">
      <c r="E3" s="355"/>
      <c r="F3" s="355"/>
      <c r="G3" s="523"/>
      <c r="H3" s="523"/>
      <c r="I3" s="523"/>
      <c r="J3" s="523"/>
      <c r="K3" s="523"/>
      <c r="L3" s="523"/>
      <c r="M3" s="523"/>
    </row>
    <row r="4" spans="2:13" s="382" customFormat="1" ht="12.75" customHeight="1">
      <c r="C4" s="383" t="str">
        <f>IF('Język - Language'!$B$30="Polski","            Reklama mobilna","            Mobile Advertising")</f>
        <v xml:space="preserve">            Reklama mobilna</v>
      </c>
      <c r="D4" s="383"/>
      <c r="J4" s="340"/>
      <c r="K4" s="393"/>
      <c r="M4" s="420" t="str">
        <f>IF('Język - Language'!$B$30="Polski","PL","EN")</f>
        <v>PL</v>
      </c>
    </row>
    <row r="5" spans="2:13" ht="12.75" customHeight="1"/>
    <row r="6" spans="2:13" ht="12.75" customHeight="1"/>
    <row r="7" spans="2:13" ht="12.75" customHeight="1">
      <c r="C7" s="424" t="s">
        <v>202</v>
      </c>
    </row>
    <row r="8" spans="2:13" ht="12.75" customHeight="1"/>
    <row r="9" spans="2:13" ht="12.75" customHeight="1">
      <c r="C9" s="669" t="s">
        <v>49</v>
      </c>
      <c r="D9" s="669"/>
      <c r="E9" s="669" t="s">
        <v>50</v>
      </c>
      <c r="F9" s="669"/>
      <c r="G9" s="669"/>
      <c r="H9" s="669" t="s">
        <v>51</v>
      </c>
      <c r="I9" s="669"/>
      <c r="J9" s="683" t="s">
        <v>52</v>
      </c>
      <c r="K9" s="683"/>
      <c r="L9" s="683"/>
      <c r="M9" s="680"/>
    </row>
    <row r="10" spans="2:13" ht="12.75" customHeight="1">
      <c r="C10" s="669"/>
      <c r="D10" s="669"/>
      <c r="E10" s="669"/>
      <c r="F10" s="669"/>
      <c r="G10" s="669"/>
      <c r="H10" s="669"/>
      <c r="I10" s="669"/>
      <c r="J10" s="694"/>
      <c r="K10" s="694"/>
      <c r="L10" s="694"/>
      <c r="M10" s="695"/>
    </row>
    <row r="11" spans="2:13" ht="9" customHeight="1">
      <c r="B11" s="384"/>
      <c r="C11" s="724" t="str">
        <f>'Flat Fee'!C8</f>
        <v xml:space="preserve">   WP SG</v>
      </c>
      <c r="D11" s="725"/>
      <c r="E11" s="580" t="str">
        <f>'Flat Fee'!D8</f>
        <v>Mobile Panel Premium</v>
      </c>
      <c r="F11" s="581"/>
      <c r="G11" s="582"/>
      <c r="H11" s="698" t="str">
        <f>'Flat Fee'!E8</f>
        <v>Flat Fee / dzień</v>
      </c>
      <c r="I11" s="699"/>
      <c r="J11" s="692" t="str">
        <f>'Multiscreen. Cross-Device'!I8</f>
        <v>styczeń-październik</v>
      </c>
      <c r="K11" s="693"/>
      <c r="L11" s="690" t="str">
        <f>'Multiscreen. Cross-Device'!J8</f>
        <v>listopad-grudzień</v>
      </c>
      <c r="M11" s="691"/>
    </row>
    <row r="12" spans="2:13" ht="16.5" customHeight="1">
      <c r="B12" s="384"/>
      <c r="C12" s="724"/>
      <c r="D12" s="725"/>
      <c r="E12" s="660"/>
      <c r="F12" s="661"/>
      <c r="G12" s="662"/>
      <c r="H12" s="700"/>
      <c r="I12" s="701"/>
      <c r="J12" s="687">
        <v>120000</v>
      </c>
      <c r="K12" s="689"/>
      <c r="L12" s="687">
        <v>140000</v>
      </c>
      <c r="M12" s="689"/>
    </row>
    <row r="13" spans="2:13" ht="25.5" customHeight="1">
      <c r="B13" s="384"/>
      <c r="C13" s="724"/>
      <c r="D13" s="725"/>
      <c r="E13" s="726" t="s">
        <v>205</v>
      </c>
      <c r="F13" s="727"/>
      <c r="G13" s="728"/>
      <c r="H13" s="702" t="s">
        <v>32</v>
      </c>
      <c r="I13" s="703"/>
      <c r="J13" s="696">
        <v>135000</v>
      </c>
      <c r="K13" s="697"/>
      <c r="L13" s="696">
        <v>160000</v>
      </c>
      <c r="M13" s="697"/>
    </row>
    <row r="14" spans="2:13" ht="25.5" customHeight="1">
      <c r="B14" s="384"/>
      <c r="C14" s="724"/>
      <c r="D14" s="725"/>
      <c r="E14" s="726" t="str">
        <f>'Flat Fee'!F54</f>
        <v>Rectangle</v>
      </c>
      <c r="F14" s="727"/>
      <c r="G14" s="728"/>
      <c r="H14" s="702" t="str">
        <f>'Flat Fee'!E54</f>
        <v>Flat Fee / dzień</v>
      </c>
      <c r="I14" s="703"/>
      <c r="J14" s="696">
        <v>50000</v>
      </c>
      <c r="K14" s="697"/>
      <c r="L14" s="696">
        <f>'Flat Fee'!H54</f>
        <v>60000</v>
      </c>
      <c r="M14" s="697"/>
    </row>
    <row r="15" spans="2:13" ht="25.5" customHeight="1">
      <c r="B15" s="384"/>
      <c r="C15" s="724"/>
      <c r="D15" s="725"/>
      <c r="E15" s="726" t="str">
        <f>'Flat Fee'!F55</f>
        <v>Halfpage</v>
      </c>
      <c r="F15" s="727"/>
      <c r="G15" s="728"/>
      <c r="H15" s="702" t="str">
        <f>'Flat Fee'!E55</f>
        <v>Flat Fee / dzień</v>
      </c>
      <c r="I15" s="703"/>
      <c r="J15" s="696">
        <v>100000</v>
      </c>
      <c r="K15" s="697"/>
      <c r="L15" s="696">
        <v>120000</v>
      </c>
      <c r="M15" s="697"/>
    </row>
    <row r="16" spans="2:13" ht="25.5" customHeight="1">
      <c r="B16" s="384"/>
      <c r="C16" s="724"/>
      <c r="D16" s="725"/>
      <c r="E16" s="726" t="str">
        <f>'Flat Fee'!F56</f>
        <v>Paralaksa</v>
      </c>
      <c r="F16" s="727"/>
      <c r="G16" s="728"/>
      <c r="H16" s="702" t="str">
        <f>'Flat Fee'!E56</f>
        <v>Flat Fee / dzień</v>
      </c>
      <c r="I16" s="703"/>
      <c r="J16" s="696">
        <v>65000</v>
      </c>
      <c r="K16" s="697"/>
      <c r="L16" s="696">
        <v>75000</v>
      </c>
      <c r="M16" s="697"/>
    </row>
    <row r="17" spans="2:13" ht="25.5" customHeight="1">
      <c r="B17" s="384"/>
      <c r="C17" s="718"/>
      <c r="D17" s="719"/>
      <c r="E17" s="729" t="s">
        <v>54</v>
      </c>
      <c r="F17" s="730"/>
      <c r="G17" s="731"/>
      <c r="H17" s="714" t="s">
        <v>32</v>
      </c>
      <c r="I17" s="715"/>
      <c r="J17" s="704">
        <v>130000</v>
      </c>
      <c r="K17" s="705"/>
      <c r="L17" s="704">
        <v>155000</v>
      </c>
      <c r="M17" s="705"/>
    </row>
    <row r="18" spans="2:13" ht="16.5" customHeight="1">
      <c r="B18" s="384"/>
      <c r="C18" s="732" t="s">
        <v>55</v>
      </c>
      <c r="D18" s="733"/>
      <c r="E18" s="657" t="s">
        <v>56</v>
      </c>
      <c r="F18" s="658"/>
      <c r="G18" s="659"/>
      <c r="H18" s="749" t="s">
        <v>32</v>
      </c>
      <c r="I18" s="750"/>
      <c r="J18" s="751">
        <v>115000</v>
      </c>
      <c r="K18" s="752"/>
      <c r="L18" s="752"/>
      <c r="M18" s="753"/>
    </row>
    <row r="19" spans="2:13" ht="37.5" customHeight="1">
      <c r="B19" s="384"/>
      <c r="C19" s="741" t="str">
        <f>'Multiscreen. Cross-Device'!D97</f>
        <v>WP Facet, WP Teleshow, WP Film, WP Opinie, WP Turystyka, WP Gwiazdy, WP Gry, WP Wiadomości, WP Kuchnia, WP Finanse, WP Dom, WP Moto, WP Kobieta, WP Tech, WP Książki, Wawalove</v>
      </c>
      <c r="D19" s="742"/>
      <c r="E19" s="660"/>
      <c r="F19" s="661"/>
      <c r="G19" s="662"/>
      <c r="H19" s="700"/>
      <c r="I19" s="701"/>
      <c r="J19" s="687"/>
      <c r="K19" s="688"/>
      <c r="L19" s="688"/>
      <c r="M19" s="689"/>
    </row>
    <row r="20" spans="2:13" ht="25.5" customHeight="1">
      <c r="B20" s="384"/>
      <c r="C20" s="737" t="s">
        <v>57</v>
      </c>
      <c r="D20" s="738"/>
      <c r="E20" s="726" t="s">
        <v>56</v>
      </c>
      <c r="F20" s="727"/>
      <c r="G20" s="728"/>
      <c r="H20" s="702" t="s">
        <v>32</v>
      </c>
      <c r="I20" s="703"/>
      <c r="J20" s="696">
        <v>85000</v>
      </c>
      <c r="K20" s="734"/>
      <c r="L20" s="734"/>
      <c r="M20" s="697"/>
    </row>
    <row r="21" spans="2:13" ht="25.5" customHeight="1">
      <c r="B21" s="384"/>
      <c r="C21" s="716" t="str">
        <f>IF('Język - Language'!$B$30="Polski","Poczta WP / strona logowania","WP Email Service / login page")</f>
        <v>Poczta WP / strona logowania</v>
      </c>
      <c r="D21" s="717"/>
      <c r="E21" s="663" t="str">
        <f>'Poczta - Email service'!C11</f>
        <v>Mobile Login Box</v>
      </c>
      <c r="F21" s="664"/>
      <c r="G21" s="665"/>
      <c r="H21" s="698" t="str">
        <f>IF('Język - Language'!$B$30="Polski","Flat Fee / tydzień","Flat Fee / 1 week")</f>
        <v>Flat Fee / tydzień</v>
      </c>
      <c r="I21" s="699"/>
      <c r="J21" s="684">
        <f>'Poczta - Email service'!F11</f>
        <v>240000</v>
      </c>
      <c r="K21" s="685"/>
      <c r="L21" s="685"/>
      <c r="M21" s="686"/>
    </row>
    <row r="22" spans="2:13" ht="25.5" customHeight="1">
      <c r="B22" s="384"/>
      <c r="C22" s="735" t="str">
        <f>IF('Język - Language'!$B$30="Polski","Poczta o2 / strona logowania","o2 Email Service / login page")</f>
        <v>Poczta o2 / strona logowania</v>
      </c>
      <c r="D22" s="736"/>
      <c r="E22" s="660"/>
      <c r="F22" s="661"/>
      <c r="G22" s="662"/>
      <c r="H22" s="700"/>
      <c r="I22" s="701"/>
      <c r="J22" s="687">
        <f>'Poczta - Email service'!G11</f>
        <v>70000</v>
      </c>
      <c r="K22" s="688"/>
      <c r="L22" s="688"/>
      <c r="M22" s="689"/>
    </row>
    <row r="23" spans="2:13" ht="25.5" customHeight="1">
      <c r="B23" s="384"/>
      <c r="C23" s="716" t="s">
        <v>58</v>
      </c>
      <c r="D23" s="717"/>
      <c r="E23" s="663" t="s">
        <v>59</v>
      </c>
      <c r="F23" s="664"/>
      <c r="G23" s="665"/>
      <c r="H23" s="720" t="s">
        <v>33</v>
      </c>
      <c r="I23" s="721"/>
      <c r="J23" s="743">
        <v>150000</v>
      </c>
      <c r="K23" s="744"/>
      <c r="L23" s="744"/>
      <c r="M23" s="745"/>
    </row>
    <row r="24" spans="2:13" ht="25.5" customHeight="1">
      <c r="B24" s="384"/>
      <c r="C24" s="718" t="s">
        <v>60</v>
      </c>
      <c r="D24" s="719"/>
      <c r="E24" s="625"/>
      <c r="F24" s="626"/>
      <c r="G24" s="627"/>
      <c r="H24" s="722"/>
      <c r="I24" s="723"/>
      <c r="J24" s="746">
        <v>70000</v>
      </c>
      <c r="K24" s="747"/>
      <c r="L24" s="747"/>
      <c r="M24" s="748"/>
    </row>
    <row r="25" spans="2:13">
      <c r="B25" s="16"/>
      <c r="C25" s="421"/>
      <c r="D25" s="421"/>
      <c r="E25" s="435"/>
      <c r="F25" s="368"/>
      <c r="G25" s="368"/>
      <c r="H25" s="460"/>
      <c r="I25" s="460"/>
      <c r="J25" s="460"/>
      <c r="K25" s="460"/>
    </row>
    <row r="26" spans="2:13">
      <c r="B26" s="16"/>
      <c r="C26" s="421"/>
      <c r="D26" s="421"/>
      <c r="E26" s="422"/>
      <c r="F26" s="368"/>
      <c r="G26" s="368"/>
      <c r="H26" s="368"/>
      <c r="I26" s="368"/>
      <c r="J26" s="368"/>
      <c r="K26" s="368"/>
    </row>
    <row r="27" spans="2:13">
      <c r="B27" s="16"/>
      <c r="C27" s="423" t="s">
        <v>61</v>
      </c>
      <c r="D27" s="421"/>
      <c r="E27" s="422"/>
      <c r="F27" s="368"/>
      <c r="G27" s="368"/>
      <c r="H27" s="368"/>
      <c r="I27" s="368"/>
      <c r="J27" s="368"/>
      <c r="K27" s="368"/>
    </row>
    <row r="28" spans="2:13" ht="12.75" customHeight="1"/>
    <row r="29" spans="2:13" ht="29.25" customHeight="1">
      <c r="C29" s="683" t="str">
        <f>'Serwisy &amp; Pakiety'!C21</f>
        <v>KATEGORIE</v>
      </c>
      <c r="D29" s="683" t="str">
        <f>'Serwisy &amp; Pakiety'!D21</f>
        <v>MIEJSCE EMISJI</v>
      </c>
      <c r="E29" s="683"/>
      <c r="F29" s="683" t="str">
        <f>'Serwisy &amp; Pakiety'!G23</f>
        <v>MOBILE RECTANGLE</v>
      </c>
      <c r="G29" s="683"/>
      <c r="H29" s="683" t="str">
        <f>'Serwisy &amp; Pakiety'!I24</f>
        <v>MOBILE BANNER GÓRNY</v>
      </c>
      <c r="I29" s="683"/>
      <c r="J29" s="683" t="str">
        <f>'Serwisy &amp; Pakiety'!M23</f>
        <v>MOBILE SCREENING³</v>
      </c>
      <c r="K29" s="680"/>
      <c r="L29" s="679" t="str">
        <f>'Serwisy &amp; Pakiety'!O23</f>
        <v>COMMERCIAL BREAK³</v>
      </c>
      <c r="M29" s="680"/>
    </row>
    <row r="30" spans="2:13" ht="25.5" customHeight="1">
      <c r="C30" s="683"/>
      <c r="D30" s="683"/>
      <c r="E30" s="683"/>
      <c r="F30" s="683" t="str">
        <f>'Serwisy &amp; Pakiety'!G25</f>
        <v>rozliczenie za widzialne odsłony wg standardu IAB¹</v>
      </c>
      <c r="G30" s="683"/>
      <c r="H30" s="683"/>
      <c r="I30" s="683"/>
      <c r="J30" s="683"/>
      <c r="K30" s="683"/>
      <c r="L30" s="683"/>
      <c r="M30" s="680"/>
    </row>
    <row r="31" spans="2:13" ht="12.75" customHeight="1">
      <c r="C31" s="683"/>
      <c r="D31" s="683"/>
      <c r="E31" s="683"/>
      <c r="F31" s="453" t="str">
        <f>'Serwisy &amp; Pakiety'!G26</f>
        <v>STAT. WEW.</v>
      </c>
      <c r="G31" s="392" t="str">
        <f>'Serwisy &amp; Pakiety'!H26</f>
        <v>STAT. ZEW.</v>
      </c>
      <c r="H31" s="453" t="str">
        <f>'Serwisy &amp; Pakiety'!I26</f>
        <v>STAT. WEW.</v>
      </c>
      <c r="I31" s="392" t="str">
        <f>'Serwisy &amp; Pakiety'!J26</f>
        <v>STAT. ZEW.</v>
      </c>
      <c r="J31" s="453" t="str">
        <f>'Serwisy &amp; Pakiety'!M26</f>
        <v>STAT. WEW.</v>
      </c>
      <c r="K31" s="392" t="str">
        <f>'Serwisy &amp; Pakiety'!N26</f>
        <v>STAT. ZEW.</v>
      </c>
      <c r="L31" s="452" t="str">
        <f>'Serwisy &amp; Pakiety'!O26</f>
        <v>STAT. WEW.</v>
      </c>
      <c r="M31" s="394" t="str">
        <f>'Serwisy &amp; Pakiety'!P26</f>
        <v>STAT. ZEW.</v>
      </c>
    </row>
    <row r="32" spans="2:13" ht="25.5" customHeight="1">
      <c r="B32" s="384"/>
      <c r="C32" s="391" t="str">
        <f>'Serwisy &amp; Pakiety'!C27</f>
        <v>WPM ZASIĘG</v>
      </c>
      <c r="D32" s="741" t="str">
        <f>'Serwisy &amp; Pakiety'!D27:F27</f>
        <v>WPM Zasięg (bez stron głównych o2 i WP oraz bez serwisów pocztowych)</v>
      </c>
      <c r="E32" s="742"/>
      <c r="F32" s="498">
        <f>'Serwisy &amp; Pakiety'!G27</f>
        <v>27</v>
      </c>
      <c r="G32" s="416">
        <f>'Serwisy &amp; Pakiety'!H27</f>
        <v>32.4</v>
      </c>
      <c r="H32" s="498">
        <f>'Serwisy &amp; Pakiety'!I27</f>
        <v>40.5</v>
      </c>
      <c r="I32" s="416">
        <f>'Serwisy &amp; Pakiety'!J27</f>
        <v>48.6</v>
      </c>
      <c r="J32" s="498" t="str">
        <f>'Serwisy &amp; Pakiety'!M27</f>
        <v>-</v>
      </c>
      <c r="K32" s="416" t="str">
        <f>'Serwisy &amp; Pakiety'!N27</f>
        <v>-</v>
      </c>
      <c r="L32" s="498" t="str">
        <f>'Serwisy &amp; Pakiety'!O27</f>
        <v>-</v>
      </c>
      <c r="M32" s="416" t="str">
        <f>'Serwisy &amp; Pakiety'!P27</f>
        <v>-</v>
      </c>
    </row>
    <row r="33" spans="2:13" ht="25.5" customHeight="1">
      <c r="B33" s="384"/>
      <c r="C33" s="389" t="str">
        <f>'Serwisy &amp; Pakiety'!C28</f>
        <v>PREMIUM HP</v>
      </c>
      <c r="D33" s="706" t="s">
        <v>206</v>
      </c>
      <c r="E33" s="707"/>
      <c r="F33" s="500" t="str">
        <f>'Serwisy &amp; Pakiety'!G28</f>
        <v>-</v>
      </c>
      <c r="G33" s="415" t="str">
        <f>'Serwisy &amp; Pakiety'!H28</f>
        <v>-</v>
      </c>
      <c r="H33" s="500">
        <f>'Serwisy &amp; Pakiety'!I28</f>
        <v>80</v>
      </c>
      <c r="I33" s="415">
        <f>'Serwisy &amp; Pakiety'!J28</f>
        <v>96</v>
      </c>
      <c r="J33" s="500">
        <f>'Serwisy &amp; Pakiety'!M28</f>
        <v>125</v>
      </c>
      <c r="K33" s="418">
        <f>'Serwisy &amp; Pakiety'!N28</f>
        <v>150</v>
      </c>
      <c r="L33" s="498" t="str">
        <f>'Serwisy &amp; Pakiety'!O28</f>
        <v>-</v>
      </c>
      <c r="M33" s="415" t="str">
        <f>'Serwisy &amp; Pakiety'!P28</f>
        <v>-</v>
      </c>
    </row>
    <row r="34" spans="2:13" ht="25.5" customHeight="1">
      <c r="B34" s="384"/>
      <c r="C34" s="389" t="str">
        <f>'Serwisy &amp; Pakiety'!C29</f>
        <v>WYBRANY SERWIS⁴</v>
      </c>
      <c r="D34" s="706">
        <f>'Serwisy &amp; Pakiety'!D29:F29</f>
        <v>0</v>
      </c>
      <c r="E34" s="707"/>
      <c r="F34" s="670" t="str">
        <f>'Serwisy &amp; Pakiety'!G29</f>
        <v>+30% do ceny wybranej kategorii (+100% w przypadku serwisu Pudelek.pl)</v>
      </c>
      <c r="G34" s="671"/>
      <c r="H34" s="671"/>
      <c r="I34" s="671"/>
      <c r="J34" s="671"/>
      <c r="K34" s="671"/>
      <c r="L34" s="671"/>
      <c r="M34" s="672"/>
    </row>
    <row r="35" spans="2:13" ht="25.5" customHeight="1">
      <c r="B35" s="384"/>
      <c r="C35" s="389" t="str">
        <f>'Serwisy &amp; Pakiety'!C30</f>
        <v>BIZNES</v>
      </c>
      <c r="D35" s="706">
        <f>'Serwisy &amp; Pakiety'!D29:F29</f>
        <v>0</v>
      </c>
      <c r="E35" s="707"/>
      <c r="F35" s="500">
        <f>'Serwisy &amp; Pakiety'!G30</f>
        <v>90</v>
      </c>
      <c r="G35" s="415">
        <f>'Serwisy &amp; Pakiety'!H30</f>
        <v>108</v>
      </c>
      <c r="H35" s="500">
        <f>'Serwisy &amp; Pakiety'!I30</f>
        <v>135</v>
      </c>
      <c r="I35" s="415">
        <f>'Serwisy &amp; Pakiety'!J30</f>
        <v>162</v>
      </c>
      <c r="J35" s="500">
        <f>'Serwisy &amp; Pakiety'!M30</f>
        <v>210</v>
      </c>
      <c r="K35" s="415">
        <f>'Serwisy &amp; Pakiety'!N30</f>
        <v>252</v>
      </c>
      <c r="L35" s="500">
        <f>'Serwisy &amp; Pakiety'!O30</f>
        <v>235</v>
      </c>
      <c r="M35" s="415">
        <f>'Serwisy &amp; Pakiety'!P30</f>
        <v>282</v>
      </c>
    </row>
    <row r="36" spans="2:13" ht="25.5" customHeight="1">
      <c r="B36" s="384"/>
      <c r="C36" s="389" t="str">
        <f>'Serwisy &amp; Pakiety'!C31</f>
        <v>INFO I SPORT</v>
      </c>
      <c r="D36" s="706" t="str">
        <f>'Serwisy &amp; Pakiety'!D31:F31</f>
        <v>WP Wiadomości, WP Opinie, WP Pogoda, WP SportoweFakty, Wawalove</v>
      </c>
      <c r="E36" s="707"/>
      <c r="F36" s="500">
        <f>'Serwisy &amp; Pakiety'!G31</f>
        <v>55</v>
      </c>
      <c r="G36" s="415">
        <f>'Serwisy &amp; Pakiety'!H31</f>
        <v>65</v>
      </c>
      <c r="H36" s="500">
        <f>'Serwisy &amp; Pakiety'!I31</f>
        <v>80</v>
      </c>
      <c r="I36" s="415">
        <f>'Serwisy &amp; Pakiety'!J31</f>
        <v>96</v>
      </c>
      <c r="J36" s="500">
        <f>'Serwisy &amp; Pakiety'!M31</f>
        <v>125</v>
      </c>
      <c r="K36" s="415">
        <f>'Serwisy &amp; Pakiety'!N31</f>
        <v>150</v>
      </c>
      <c r="L36" s="500">
        <f>'Serwisy &amp; Pakiety'!O31</f>
        <v>145</v>
      </c>
      <c r="M36" s="415">
        <f>'Serwisy &amp; Pakiety'!P31</f>
        <v>175</v>
      </c>
    </row>
    <row r="37" spans="2:13" ht="25.5" customHeight="1">
      <c r="B37" s="384"/>
      <c r="C37" s="389" t="str">
        <f>'Serwisy &amp; Pakiety'!C32</f>
        <v>MOTORYZACJA</v>
      </c>
      <c r="D37" s="706" t="str">
        <f>'Serwisy &amp; Pakiety'!D32:F32</f>
        <v>WP Autokult, WP Moto</v>
      </c>
      <c r="E37" s="707"/>
      <c r="F37" s="500">
        <f>'Serwisy &amp; Pakiety'!G32</f>
        <v>45</v>
      </c>
      <c r="G37" s="415">
        <f>'Serwisy &amp; Pakiety'!H32</f>
        <v>54</v>
      </c>
      <c r="H37" s="500">
        <f>'Serwisy &amp; Pakiety'!I32</f>
        <v>68</v>
      </c>
      <c r="I37" s="415">
        <f>'Serwisy &amp; Pakiety'!J32</f>
        <v>81</v>
      </c>
      <c r="J37" s="500">
        <f>'Serwisy &amp; Pakiety'!M32</f>
        <v>106</v>
      </c>
      <c r="K37" s="415">
        <f>'Serwisy &amp; Pakiety'!N32</f>
        <v>127</v>
      </c>
      <c r="L37" s="500">
        <f>'Serwisy &amp; Pakiety'!O32</f>
        <v>120</v>
      </c>
      <c r="M37" s="415">
        <f>'Serwisy &amp; Pakiety'!P32</f>
        <v>144</v>
      </c>
    </row>
    <row r="38" spans="2:13" ht="25.5" customHeight="1">
      <c r="B38" s="384"/>
      <c r="C38" s="454" t="str">
        <f>'Serwisy &amp; Pakiety'!C33</f>
        <v>ROZRYWKA</v>
      </c>
      <c r="D38" s="706" t="str">
        <f>'Serwisy &amp; Pakiety'!D33:F33</f>
        <v>WP Film, WP Gwiazdy, WP Książki, WP Program TV, WP Teleshow, Pudelek, o2 serwisy, o2 warstwy</v>
      </c>
      <c r="E38" s="707"/>
      <c r="F38" s="500">
        <f>'Serwisy &amp; Pakiety'!G33</f>
        <v>30</v>
      </c>
      <c r="G38" s="415">
        <f>'Serwisy &amp; Pakiety'!H33</f>
        <v>36</v>
      </c>
      <c r="H38" s="500">
        <f>'Serwisy &amp; Pakiety'!I33</f>
        <v>45</v>
      </c>
      <c r="I38" s="415">
        <f>'Serwisy &amp; Pakiety'!J33</f>
        <v>54</v>
      </c>
      <c r="J38" s="500">
        <f>'Serwisy &amp; Pakiety'!M33</f>
        <v>70</v>
      </c>
      <c r="K38" s="415">
        <f>'Serwisy &amp; Pakiety'!N33</f>
        <v>84</v>
      </c>
      <c r="L38" s="500">
        <f>'Serwisy &amp; Pakiety'!O33</f>
        <v>78</v>
      </c>
      <c r="M38" s="415">
        <f>'Serwisy &amp; Pakiety'!P33</f>
        <v>94</v>
      </c>
    </row>
    <row r="39" spans="2:13" ht="25.5" customHeight="1">
      <c r="B39" s="384"/>
      <c r="C39" s="389" t="str">
        <f>'Serwisy &amp; Pakiety'!C34</f>
        <v>STYL ŻYCIA</v>
      </c>
      <c r="D39" s="706" t="str">
        <f>'Serwisy &amp; Pakiety'!D34:F34</f>
        <v>WP Facet, WP Kobieta, Kafeteria.pl, WP Kuchnia, WP Turystyka</v>
      </c>
      <c r="E39" s="707"/>
      <c r="F39" s="500">
        <f>'Serwisy &amp; Pakiety'!G34</f>
        <v>45</v>
      </c>
      <c r="G39" s="415">
        <f>'Serwisy &amp; Pakiety'!H34</f>
        <v>54</v>
      </c>
      <c r="H39" s="500">
        <f>'Serwisy &amp; Pakiety'!I34</f>
        <v>68</v>
      </c>
      <c r="I39" s="415">
        <f>'Serwisy &amp; Pakiety'!J34</f>
        <v>81</v>
      </c>
      <c r="J39" s="500">
        <f>'Serwisy &amp; Pakiety'!M34</f>
        <v>106</v>
      </c>
      <c r="K39" s="415">
        <f>'Serwisy &amp; Pakiety'!N34</f>
        <v>127</v>
      </c>
      <c r="L39" s="500">
        <f>'Serwisy &amp; Pakiety'!O34</f>
        <v>120</v>
      </c>
      <c r="M39" s="415">
        <f>'Serwisy &amp; Pakiety'!P34</f>
        <v>144</v>
      </c>
    </row>
    <row r="40" spans="2:13" ht="25.5" customHeight="1">
      <c r="B40" s="384"/>
      <c r="C40" s="389" t="str">
        <f>'Serwisy &amp; Pakiety'!C35</f>
        <v>TECHNOLOGIA</v>
      </c>
      <c r="D40" s="706" t="str">
        <f>'Serwisy &amp; Pakiety'!D35:F35</f>
        <v>WP Tech, WP Gry, WP Fotoblogia, WP Gadżetomania, WP Komórkomania, dobreprogramy.pl⁵</v>
      </c>
      <c r="E40" s="707"/>
      <c r="F40" s="500">
        <f>'Serwisy &amp; Pakiety'!G35</f>
        <v>45</v>
      </c>
      <c r="G40" s="415">
        <f>'Serwisy &amp; Pakiety'!H35</f>
        <v>54</v>
      </c>
      <c r="H40" s="500">
        <f>'Serwisy &amp; Pakiety'!I35</f>
        <v>68</v>
      </c>
      <c r="I40" s="415">
        <f>'Serwisy &amp; Pakiety'!J35</f>
        <v>81</v>
      </c>
      <c r="J40" s="500">
        <f>'Serwisy &amp; Pakiety'!M35</f>
        <v>106</v>
      </c>
      <c r="K40" s="415">
        <f>'Serwisy &amp; Pakiety'!N35</f>
        <v>127</v>
      </c>
      <c r="L40" s="500">
        <f>'Serwisy &amp; Pakiety'!O35</f>
        <v>120</v>
      </c>
      <c r="M40" s="415">
        <f>'Serwisy &amp; Pakiety'!P35</f>
        <v>144</v>
      </c>
    </row>
    <row r="41" spans="2:13" ht="25.5" customHeight="1">
      <c r="B41" s="384"/>
      <c r="C41" s="389" t="str">
        <f>'Serwisy &amp; Pakiety'!C36</f>
        <v>ZDROWIE I PARENTING</v>
      </c>
      <c r="D41" s="706" t="str">
        <f>'Serwisy &amp; Pakiety'!D36:F36</f>
        <v>WP abcZdrowie, WP Fitness, WP Jejswiat, WP Parenting, Medycyna24, Nerwica.com</v>
      </c>
      <c r="E41" s="707"/>
      <c r="F41" s="500">
        <f>'Serwisy &amp; Pakiety'!G36</f>
        <v>82.5</v>
      </c>
      <c r="G41" s="415">
        <f>'Serwisy &amp; Pakiety'!H36</f>
        <v>99</v>
      </c>
      <c r="H41" s="500">
        <f>'Serwisy &amp; Pakiety'!I36</f>
        <v>120</v>
      </c>
      <c r="I41" s="415">
        <f>'Serwisy &amp; Pakiety'!J36</f>
        <v>144</v>
      </c>
      <c r="J41" s="500">
        <f>'Serwisy &amp; Pakiety'!M36</f>
        <v>187</v>
      </c>
      <c r="K41" s="415">
        <f>'Serwisy &amp; Pakiety'!N36</f>
        <v>224</v>
      </c>
      <c r="L41" s="500">
        <f>'Serwisy &amp; Pakiety'!O36</f>
        <v>210</v>
      </c>
      <c r="M41" s="415">
        <f>'Serwisy &amp; Pakiety'!P36</f>
        <v>252</v>
      </c>
    </row>
    <row r="42" spans="2:13" ht="25.5" customHeight="1">
      <c r="B42" s="384"/>
      <c r="C42" s="389" t="str">
        <f>'Serwisy &amp; Pakiety'!C37</f>
        <v>WIDEO I AUDIO</v>
      </c>
      <c r="D42" s="706" t="str">
        <f>'Serwisy &amp; Pakiety'!D37:F37</f>
        <v>WP Pilot, WP Wideo, OpenFM</v>
      </c>
      <c r="E42" s="707"/>
      <c r="F42" s="500">
        <f>'Serwisy &amp; Pakiety'!G37</f>
        <v>45</v>
      </c>
      <c r="G42" s="415">
        <f>'Serwisy &amp; Pakiety'!H37</f>
        <v>54</v>
      </c>
      <c r="H42" s="500">
        <f>'Serwisy &amp; Pakiety'!I37</f>
        <v>68</v>
      </c>
      <c r="I42" s="415">
        <f>'Serwisy &amp; Pakiety'!J37</f>
        <v>81</v>
      </c>
      <c r="J42" s="500">
        <f>'Serwisy &amp; Pakiety'!M37</f>
        <v>106</v>
      </c>
      <c r="K42" s="415">
        <f>'Serwisy &amp; Pakiety'!N37</f>
        <v>127</v>
      </c>
      <c r="L42" s="500">
        <f>'Serwisy &amp; Pakiety'!O37</f>
        <v>120</v>
      </c>
      <c r="M42" s="415">
        <f>'Serwisy &amp; Pakiety'!P37</f>
        <v>144</v>
      </c>
    </row>
    <row r="43" spans="2:13" ht="25.5" customHeight="1">
      <c r="B43" s="384"/>
      <c r="C43" s="390" t="str">
        <f>'Serwisy &amp; Pakiety'!C38</f>
        <v>PAKIET SPECJALNY</v>
      </c>
      <c r="D43" s="708" t="str">
        <f>'Serwisy &amp; Pakiety'!D38:F38</f>
        <v>Min. 4 wybrane serwisy - BEZ SERWISÓW KATEGORII BIZNES oraz ZDROWIE I PRENTING</v>
      </c>
      <c r="E43" s="709"/>
      <c r="F43" s="499">
        <f>'Serwisy &amp; Pakiety'!G38</f>
        <v>66.5</v>
      </c>
      <c r="G43" s="417">
        <f>'Serwisy &amp; Pakiety'!H38</f>
        <v>79.800000000000011</v>
      </c>
      <c r="H43" s="499">
        <f>'Serwisy &amp; Pakiety'!I38</f>
        <v>85.5</v>
      </c>
      <c r="I43" s="417">
        <f>'Serwisy &amp; Pakiety'!J38</f>
        <v>102.60000000000001</v>
      </c>
      <c r="J43" s="499">
        <f>'Serwisy &amp; Pakiety'!M38</f>
        <v>135</v>
      </c>
      <c r="K43" s="417">
        <f>'Serwisy &amp; Pakiety'!N38</f>
        <v>162</v>
      </c>
      <c r="L43" s="499">
        <f>'Serwisy &amp; Pakiety'!O38</f>
        <v>150</v>
      </c>
      <c r="M43" s="417">
        <f>'Serwisy &amp; Pakiety'!P38</f>
        <v>180</v>
      </c>
    </row>
    <row r="44" spans="2:13">
      <c r="B44" s="16"/>
      <c r="C44" s="422" t="str">
        <f>'Serwisy &amp; Pakiety'!C39</f>
        <v>¹ ceny dotyczą rozliczenia vCPM zgodnego ze standardem IAB, dla innych standardów obowiązuje wycena indywidualna</v>
      </c>
      <c r="D44" s="503"/>
      <c r="E44" s="503"/>
      <c r="F44" s="377"/>
      <c r="G44" s="377"/>
      <c r="H44" s="377"/>
      <c r="I44" s="377"/>
      <c r="J44" s="377"/>
      <c r="K44" s="377"/>
      <c r="L44" s="377"/>
      <c r="M44" s="377"/>
    </row>
    <row r="45" spans="2:13">
      <c r="B45" s="16"/>
      <c r="C45" s="422" t="str">
        <f>'Serwisy &amp; Pakiety'!C41</f>
        <v>³ Format dostępny na wybranych serwisach</v>
      </c>
      <c r="D45" s="503"/>
      <c r="E45" s="503"/>
      <c r="F45" s="377"/>
      <c r="G45" s="377"/>
      <c r="H45" s="377"/>
      <c r="I45" s="377"/>
      <c r="J45" s="377"/>
      <c r="K45" s="377"/>
      <c r="L45" s="377"/>
      <c r="M45" s="377"/>
    </row>
    <row r="46" spans="2:13">
      <c r="B46" s="16"/>
      <c r="C46" s="504" t="str">
        <f>'Serwisy &amp; Pakiety'!C42</f>
        <v>⁴ +100% do ceny wybranej kategorii w przyadku serwisu Pudelek.pl</v>
      </c>
      <c r="D46" s="503"/>
      <c r="E46" s="503"/>
      <c r="F46" s="377"/>
      <c r="G46" s="377"/>
      <c r="H46" s="377"/>
      <c r="I46" s="377"/>
      <c r="J46" s="377"/>
      <c r="K46" s="377"/>
      <c r="L46" s="377"/>
      <c r="M46" s="377"/>
    </row>
    <row r="47" spans="2:13">
      <c r="B47" s="16"/>
      <c r="C47" s="504" t="str">
        <f>'Serwisy &amp; Pakiety'!C43</f>
        <v>⁵ Screening na dobreprogramy.pl sprzedawany wyłącznie poza pakietem</v>
      </c>
      <c r="D47" s="503"/>
      <c r="E47" s="503"/>
      <c r="F47" s="377"/>
      <c r="G47" s="377"/>
      <c r="H47" s="377"/>
      <c r="I47" s="377"/>
      <c r="J47" s="377"/>
      <c r="K47" s="377"/>
      <c r="L47" s="377"/>
      <c r="M47" s="377"/>
    </row>
    <row r="48" spans="2:13">
      <c r="B48" s="16"/>
      <c r="C48" s="435"/>
      <c r="D48" s="435"/>
      <c r="E48" s="435"/>
      <c r="F48" s="368"/>
      <c r="G48" s="368"/>
      <c r="H48" s="460"/>
      <c r="I48" s="460"/>
      <c r="J48" s="460"/>
      <c r="K48" s="460"/>
    </row>
    <row r="49" spans="2:15" ht="12.75" customHeight="1">
      <c r="C49" s="424" t="s">
        <v>62</v>
      </c>
    </row>
    <row r="51" spans="2:15" ht="29.25" customHeight="1">
      <c r="C51" s="683" t="str">
        <f>DataPower!B7</f>
        <v>KATEGORIE</v>
      </c>
      <c r="D51" s="683" t="str">
        <f>DataPower!C7</f>
        <v>PRZYKŁADOWE PROFILE</v>
      </c>
      <c r="E51" s="683"/>
      <c r="F51" s="683" t="str">
        <f>DataPower!D9</f>
        <v>MOBILE RECTANGLE</v>
      </c>
      <c r="G51" s="683"/>
      <c r="H51" s="683" t="str">
        <f>DataPower!F10</f>
        <v>MOBILE BANNER GÓRNY</v>
      </c>
      <c r="I51" s="683"/>
      <c r="J51" s="683" t="str">
        <f>DataPower!J9</f>
        <v>MOBILE SCREENING³</v>
      </c>
      <c r="K51" s="680"/>
      <c r="L51" s="679" t="str">
        <f>DataPower!L9</f>
        <v>COMMERCIAL BREAK³</v>
      </c>
      <c r="M51" s="680"/>
      <c r="N51" s="679" t="str">
        <f>DataPower!N9</f>
        <v>WIDEO</v>
      </c>
      <c r="O51" s="680"/>
    </row>
    <row r="52" spans="2:15" ht="25.5" customHeight="1">
      <c r="C52" s="683"/>
      <c r="D52" s="683"/>
      <c r="E52" s="683"/>
      <c r="F52" s="683" t="str">
        <f>DataPower!D11</f>
        <v>rozliczenie za widzialne odsłony wg standardu IAB¹</v>
      </c>
      <c r="G52" s="683"/>
      <c r="H52" s="683"/>
      <c r="I52" s="683"/>
      <c r="J52" s="683"/>
      <c r="K52" s="683"/>
      <c r="L52" s="683"/>
      <c r="M52" s="680"/>
      <c r="N52" s="681" t="str">
        <f>DataPower!N11</f>
        <v>rozliczenie CPM za rozpoczęte odtworzenia⁴</v>
      </c>
      <c r="O52" s="682"/>
    </row>
    <row r="53" spans="2:15" ht="12.75" customHeight="1">
      <c r="C53" s="683"/>
      <c r="D53" s="683"/>
      <c r="E53" s="683"/>
      <c r="F53" s="453" t="str">
        <f>DataPower!D12</f>
        <v>STAT. WEW.</v>
      </c>
      <c r="G53" s="392" t="str">
        <f>DataPower!E12</f>
        <v>STAT. ZEW.</v>
      </c>
      <c r="H53" s="453" t="str">
        <f>DataPower!F12</f>
        <v>STAT. WEW.</v>
      </c>
      <c r="I53" s="392" t="str">
        <f>DataPower!G12</f>
        <v>STAT. ZEW.</v>
      </c>
      <c r="J53" s="453" t="str">
        <f>DataPower!J12</f>
        <v>STAT. WEW.</v>
      </c>
      <c r="K53" s="392" t="str">
        <f>DataPower!K12</f>
        <v>STAT. ZEW.</v>
      </c>
      <c r="L53" s="452" t="str">
        <f>DataPower!L12</f>
        <v>STAT. WEW.</v>
      </c>
      <c r="M53" s="394" t="str">
        <f>DataPower!M12</f>
        <v>STAT. ZEW.</v>
      </c>
      <c r="N53" s="457" t="str">
        <f>DataPower!N12</f>
        <v>15"</v>
      </c>
      <c r="O53" s="452" t="str">
        <f>DataPower!O12</f>
        <v>30" i dłuższy⁴</v>
      </c>
    </row>
    <row r="54" spans="2:15" ht="25.5" customHeight="1">
      <c r="B54" s="384"/>
      <c r="C54" s="391" t="str">
        <f>DataPower!B13</f>
        <v>BIZNES</v>
      </c>
      <c r="D54" s="710" t="str">
        <f>DataPower!C13</f>
        <v>Firma - Poszukujący pomysłu na biznes
Leasing
Podatki</v>
      </c>
      <c r="E54" s="711"/>
      <c r="F54" s="498">
        <f>DataPower!D13</f>
        <v>108</v>
      </c>
      <c r="G54" s="416">
        <f>DataPower!E13</f>
        <v>129.6</v>
      </c>
      <c r="H54" s="498">
        <f>DataPower!F13</f>
        <v>162</v>
      </c>
      <c r="I54" s="416">
        <f>DataPower!G13</f>
        <v>194.4</v>
      </c>
      <c r="J54" s="498">
        <f>DataPower!J13</f>
        <v>252</v>
      </c>
      <c r="K54" s="416">
        <f>DataPower!K13</f>
        <v>302.39999999999998</v>
      </c>
      <c r="L54" s="498">
        <f>DataPower!L13</f>
        <v>282</v>
      </c>
      <c r="M54" s="416">
        <f>DataPower!M13</f>
        <v>338.4</v>
      </c>
      <c r="N54" s="498" t="str">
        <f>DataPower!N13</f>
        <v>120 PLN</v>
      </c>
      <c r="O54" s="416" t="str">
        <f>DataPower!O13</f>
        <v>180 PLN</v>
      </c>
    </row>
    <row r="55" spans="2:15" ht="25.5" customHeight="1">
      <c r="B55" s="384"/>
      <c r="C55" s="389" t="str">
        <f>DataPower!B14</f>
        <v>INFO I SPORT</v>
      </c>
      <c r="D55" s="712" t="str">
        <f>DataPower!C14</f>
        <v>Siatkówka
Piłka nożna - liga hiszpańska
Piłka ręczna</v>
      </c>
      <c r="E55" s="713"/>
      <c r="F55" s="498">
        <f>DataPower!D14</f>
        <v>66</v>
      </c>
      <c r="G55" s="416">
        <f>DataPower!E14</f>
        <v>78</v>
      </c>
      <c r="H55" s="498">
        <f>DataPower!F14</f>
        <v>96</v>
      </c>
      <c r="I55" s="416">
        <f>DataPower!G14</f>
        <v>115.19999999999999</v>
      </c>
      <c r="J55" s="498">
        <f>DataPower!J14</f>
        <v>150</v>
      </c>
      <c r="K55" s="416">
        <f>DataPower!K14</f>
        <v>180</v>
      </c>
      <c r="L55" s="498">
        <f>DataPower!L14</f>
        <v>174</v>
      </c>
      <c r="M55" s="416">
        <f>DataPower!M14</f>
        <v>210</v>
      </c>
      <c r="N55" s="498" t="str">
        <f>DataPower!N14</f>
        <v>100 PLN</v>
      </c>
      <c r="O55" s="416" t="str">
        <f>DataPower!O14</f>
        <v>150 PLN</v>
      </c>
    </row>
    <row r="56" spans="2:15" ht="25.5" customHeight="1">
      <c r="B56" s="384"/>
      <c r="C56" s="389" t="str">
        <f>DataPower!B15</f>
        <v>MOTORYZACJA</v>
      </c>
      <c r="D56" s="712" t="str">
        <f>DataPower!C15</f>
        <v>Autosegment A
Design motoryzacyjny
Pojazdy zabytkowe</v>
      </c>
      <c r="E56" s="713"/>
      <c r="F56" s="498">
        <f>DataPower!D15</f>
        <v>54</v>
      </c>
      <c r="G56" s="416">
        <f>DataPower!E15</f>
        <v>64.8</v>
      </c>
      <c r="H56" s="498">
        <f>DataPower!F15</f>
        <v>81.599999999999994</v>
      </c>
      <c r="I56" s="416">
        <f>DataPower!G15</f>
        <v>97.2</v>
      </c>
      <c r="J56" s="498">
        <f>DataPower!J15</f>
        <v>127.19999999999999</v>
      </c>
      <c r="K56" s="416">
        <f>DataPower!K15</f>
        <v>152.4</v>
      </c>
      <c r="L56" s="498">
        <f>DataPower!L15</f>
        <v>144</v>
      </c>
      <c r="M56" s="416">
        <f>DataPower!M15</f>
        <v>172.79999999999998</v>
      </c>
      <c r="N56" s="498" t="str">
        <f>DataPower!N15</f>
        <v>100 PLN</v>
      </c>
      <c r="O56" s="416" t="str">
        <f>DataPower!O15</f>
        <v>150 PLN</v>
      </c>
    </row>
    <row r="57" spans="2:15" ht="25.5" customHeight="1">
      <c r="B57" s="384"/>
      <c r="C57" s="389" t="str">
        <f>DataPower!B16</f>
        <v>ROZRYWKA</v>
      </c>
      <c r="D57" s="712" t="str">
        <f>DataPower!C16</f>
        <v>Film i kinoSeriale
Ekologia
Zainteresowani esportem</v>
      </c>
      <c r="E57" s="713"/>
      <c r="F57" s="498">
        <f>DataPower!D16</f>
        <v>36</v>
      </c>
      <c r="G57" s="416">
        <f>DataPower!E16</f>
        <v>43.199999999999996</v>
      </c>
      <c r="H57" s="498">
        <f>DataPower!F16</f>
        <v>54</v>
      </c>
      <c r="I57" s="416">
        <f>DataPower!G16</f>
        <v>64.8</v>
      </c>
      <c r="J57" s="498">
        <f>DataPower!J16</f>
        <v>84</v>
      </c>
      <c r="K57" s="416">
        <f>DataPower!K16</f>
        <v>100.8</v>
      </c>
      <c r="L57" s="498">
        <f>DataPower!L16</f>
        <v>93.6</v>
      </c>
      <c r="M57" s="416">
        <f>DataPower!M16</f>
        <v>112.8</v>
      </c>
      <c r="N57" s="498" t="str">
        <f>DataPower!N16</f>
        <v>100 PLN</v>
      </c>
      <c r="O57" s="416" t="str">
        <f>DataPower!O16</f>
        <v>150 PLN</v>
      </c>
    </row>
    <row r="58" spans="2:15" ht="25.5" customHeight="1">
      <c r="B58" s="384"/>
      <c r="C58" s="389" t="str">
        <f>DataPower!B17</f>
        <v>STYL ŻYCIA</v>
      </c>
      <c r="D58" s="712" t="str">
        <f>DataPower!C17</f>
        <v>Uroda - Zabiegi kosmetyczne (SPA)
Kulinaria - Kuchnia meksykańska
Turystyka - Wyjazdy rodzinne (morze)
Dom i wnętrze</v>
      </c>
      <c r="E58" s="713"/>
      <c r="F58" s="498">
        <f>DataPower!D17</f>
        <v>54</v>
      </c>
      <c r="G58" s="416">
        <f>DataPower!E17</f>
        <v>64.8</v>
      </c>
      <c r="H58" s="498">
        <f>DataPower!F17</f>
        <v>81.599999999999994</v>
      </c>
      <c r="I58" s="416">
        <f>DataPower!G17</f>
        <v>97.2</v>
      </c>
      <c r="J58" s="498">
        <f>DataPower!J17</f>
        <v>127.19999999999999</v>
      </c>
      <c r="K58" s="416">
        <f>DataPower!K17</f>
        <v>152.4</v>
      </c>
      <c r="L58" s="498">
        <f>DataPower!L17</f>
        <v>144</v>
      </c>
      <c r="M58" s="416">
        <f>DataPower!M17</f>
        <v>172.79999999999998</v>
      </c>
      <c r="N58" s="498" t="str">
        <f>DataPower!N17</f>
        <v>100 PLN</v>
      </c>
      <c r="O58" s="416" t="str">
        <f>DataPower!O17</f>
        <v>150 PLN</v>
      </c>
    </row>
    <row r="59" spans="2:15" ht="25.5" customHeight="1">
      <c r="B59" s="384"/>
      <c r="C59" s="389" t="str">
        <f>DataPower!B18</f>
        <v>TECHNOLOGIA</v>
      </c>
      <c r="D59" s="712" t="str">
        <f>DataPower!C18</f>
        <v>Sprzęt AGD
Konsole i gry
Inteligentny dom</v>
      </c>
      <c r="E59" s="713"/>
      <c r="F59" s="498">
        <f>DataPower!D18</f>
        <v>54</v>
      </c>
      <c r="G59" s="416">
        <f>DataPower!E18</f>
        <v>64.8</v>
      </c>
      <c r="H59" s="498">
        <f>DataPower!F18</f>
        <v>81.599999999999994</v>
      </c>
      <c r="I59" s="416">
        <f>DataPower!G18</f>
        <v>97.2</v>
      </c>
      <c r="J59" s="498">
        <f>DataPower!J18</f>
        <v>127.19999999999999</v>
      </c>
      <c r="K59" s="416">
        <f>DataPower!K18</f>
        <v>152.4</v>
      </c>
      <c r="L59" s="498">
        <f>DataPower!L18</f>
        <v>144</v>
      </c>
      <c r="M59" s="416">
        <f>DataPower!M18</f>
        <v>172.79999999999998</v>
      </c>
      <c r="N59" s="498" t="str">
        <f>DataPower!N18</f>
        <v>100 PLN</v>
      </c>
      <c r="O59" s="416">
        <f>DataPower!O18</f>
        <v>150</v>
      </c>
    </row>
    <row r="60" spans="2:15" ht="25.5" customHeight="1">
      <c r="B60" s="384"/>
      <c r="C60" s="497" t="str">
        <f>DataPower!B19</f>
        <v>ZDROWIE I PARENTING</v>
      </c>
      <c r="D60" s="739" t="str">
        <f>DataPower!C19</f>
        <v>Rodzina - Pięlęgnacja niemowlaka
Zdrowie
Grypa i przeziębienie
Medycyna naturalna</v>
      </c>
      <c r="E60" s="740"/>
      <c r="F60" s="499">
        <f>DataPower!D19</f>
        <v>99</v>
      </c>
      <c r="G60" s="501">
        <f>DataPower!E19</f>
        <v>118.8</v>
      </c>
      <c r="H60" s="499">
        <f>DataPower!F19</f>
        <v>144</v>
      </c>
      <c r="I60" s="417">
        <f>DataPower!G19</f>
        <v>172.79999999999998</v>
      </c>
      <c r="J60" s="499">
        <f>DataPower!J19</f>
        <v>224.4</v>
      </c>
      <c r="K60" s="417">
        <f>DataPower!K19</f>
        <v>268.8</v>
      </c>
      <c r="L60" s="499">
        <f>DataPower!L19</f>
        <v>252</v>
      </c>
      <c r="M60" s="417">
        <f>DataPower!M19</f>
        <v>302.39999999999998</v>
      </c>
      <c r="N60" s="499" t="str">
        <f>DataPower!N19</f>
        <v>180 PLN</v>
      </c>
      <c r="O60" s="417">
        <f>DataPower!O19</f>
        <v>240</v>
      </c>
    </row>
    <row r="61" spans="2:15" ht="25.5" customHeight="1">
      <c r="B61" s="384"/>
      <c r="C61" s="391" t="str">
        <f>DataPower!B20</f>
        <v>GEOTARGETOWANIE</v>
      </c>
      <c r="D61" s="710" t="str">
        <f>DataPower!C20</f>
        <v>Województwa, miasta, konkretna lokalizacja</v>
      </c>
      <c r="E61" s="711"/>
      <c r="F61" s="676" t="str">
        <f>DataPower!D20</f>
        <v>+50%</v>
      </c>
      <c r="G61" s="677"/>
      <c r="H61" s="677"/>
      <c r="I61" s="677"/>
      <c r="J61" s="677"/>
      <c r="K61" s="677"/>
      <c r="L61" s="677"/>
      <c r="M61" s="677"/>
      <c r="N61" s="677"/>
      <c r="O61" s="678"/>
    </row>
    <row r="62" spans="2:15" ht="25.5" customHeight="1">
      <c r="B62" s="384"/>
      <c r="C62" s="389" t="str">
        <f>DataPower!B21</f>
        <v>RAPORT AUDIENCE</v>
      </c>
      <c r="D62" s="712" t="str">
        <f>DataPower!C21</f>
        <v>Podsumowanie kampanii zawierającej raport Audience Discovery czyli pełny profil użytkownika (wersja podstawowa i rozszerzona).
Segmenty tworzymy pod konkretnego klienta lub konkretną kampanię.</v>
      </c>
      <c r="E62" s="713"/>
      <c r="F62" s="670" t="str">
        <f>DataPower!D21</f>
        <v>+50%</v>
      </c>
      <c r="G62" s="671"/>
      <c r="H62" s="671"/>
      <c r="I62" s="671"/>
      <c r="J62" s="671"/>
      <c r="K62" s="671"/>
      <c r="L62" s="671"/>
      <c r="M62" s="671"/>
      <c r="N62" s="671"/>
      <c r="O62" s="672"/>
    </row>
    <row r="63" spans="2:15" ht="25.5" customHeight="1">
      <c r="B63" s="384"/>
      <c r="C63" s="390" t="str">
        <f>DataPower!B22</f>
        <v>PROFIL DEDYKOWANY</v>
      </c>
      <c r="D63" s="739" t="str">
        <f>DataPower!C22</f>
        <v>Unikalne grupy tworzone na potrzeby klienta / kampanii.</v>
      </c>
      <c r="E63" s="740"/>
      <c r="F63" s="673" t="str">
        <f>DataPower!D22</f>
        <v>+30%</v>
      </c>
      <c r="G63" s="674"/>
      <c r="H63" s="674"/>
      <c r="I63" s="674"/>
      <c r="J63" s="674"/>
      <c r="K63" s="674"/>
      <c r="L63" s="674"/>
      <c r="M63" s="674"/>
      <c r="N63" s="674"/>
      <c r="O63" s="675"/>
    </row>
    <row r="64" spans="2:15">
      <c r="C64" s="502" t="str">
        <f>DataPower!B23</f>
        <v>¹ ceny dotyczą rozliczenia vCPM zgodnego ze standardem IAB, dla innych standardów obowiązuje wycena indywidualna</v>
      </c>
    </row>
    <row r="65" spans="3:3">
      <c r="C65" s="502" t="str">
        <f>DataPower!B25</f>
        <v>³ Format dostępny na wybranych serwisach</v>
      </c>
    </row>
    <row r="66" spans="3:3">
      <c r="C66" s="502" t="str">
        <f>DataPower!B26</f>
        <v>⁴ +20% za emisję video z kodów emisyjnych</v>
      </c>
    </row>
  </sheetData>
  <mergeCells count="95">
    <mergeCell ref="C29:C31"/>
    <mergeCell ref="J13:K13"/>
    <mergeCell ref="L13:M13"/>
    <mergeCell ref="E14:G14"/>
    <mergeCell ref="E15:G15"/>
    <mergeCell ref="E16:G16"/>
    <mergeCell ref="L16:M16"/>
    <mergeCell ref="J14:K14"/>
    <mergeCell ref="J15:K15"/>
    <mergeCell ref="J16:K16"/>
    <mergeCell ref="J23:M23"/>
    <mergeCell ref="J24:M24"/>
    <mergeCell ref="C19:D19"/>
    <mergeCell ref="H18:I19"/>
    <mergeCell ref="J18:M19"/>
    <mergeCell ref="E18:G19"/>
    <mergeCell ref="E20:G20"/>
    <mergeCell ref="E21:G22"/>
    <mergeCell ref="E23:G24"/>
    <mergeCell ref="H21:I22"/>
    <mergeCell ref="H20:I20"/>
    <mergeCell ref="J20:M20"/>
    <mergeCell ref="C22:D22"/>
    <mergeCell ref="C20:D20"/>
    <mergeCell ref="D62:E62"/>
    <mergeCell ref="D63:E63"/>
    <mergeCell ref="D56:E56"/>
    <mergeCell ref="D57:E57"/>
    <mergeCell ref="D58:E58"/>
    <mergeCell ref="D59:E59"/>
    <mergeCell ref="D60:E60"/>
    <mergeCell ref="D29:E31"/>
    <mergeCell ref="D32:E32"/>
    <mergeCell ref="D37:E37"/>
    <mergeCell ref="D33:E33"/>
    <mergeCell ref="D34:E34"/>
    <mergeCell ref="D35:E35"/>
    <mergeCell ref="J17:K17"/>
    <mergeCell ref="D61:E61"/>
    <mergeCell ref="D54:E54"/>
    <mergeCell ref="D55:E55"/>
    <mergeCell ref="H17:I17"/>
    <mergeCell ref="C23:D23"/>
    <mergeCell ref="C24:D24"/>
    <mergeCell ref="H23:I24"/>
    <mergeCell ref="C11:D17"/>
    <mergeCell ref="H13:I13"/>
    <mergeCell ref="E11:G12"/>
    <mergeCell ref="E13:G13"/>
    <mergeCell ref="E17:G17"/>
    <mergeCell ref="C18:D18"/>
    <mergeCell ref="C21:D21"/>
    <mergeCell ref="C51:C53"/>
    <mergeCell ref="J51:K51"/>
    <mergeCell ref="L51:M51"/>
    <mergeCell ref="D42:E42"/>
    <mergeCell ref="D43:E43"/>
    <mergeCell ref="D36:E36"/>
    <mergeCell ref="D51:E53"/>
    <mergeCell ref="D40:E40"/>
    <mergeCell ref="D41:E41"/>
    <mergeCell ref="D38:E38"/>
    <mergeCell ref="D39:E39"/>
    <mergeCell ref="G1:M3"/>
    <mergeCell ref="J21:M21"/>
    <mergeCell ref="J22:M22"/>
    <mergeCell ref="L11:M11"/>
    <mergeCell ref="L12:M12"/>
    <mergeCell ref="J11:K11"/>
    <mergeCell ref="J12:K12"/>
    <mergeCell ref="J9:M10"/>
    <mergeCell ref="L14:M14"/>
    <mergeCell ref="L15:M15"/>
    <mergeCell ref="H9:I10"/>
    <mergeCell ref="H11:I12"/>
    <mergeCell ref="H14:I14"/>
    <mergeCell ref="H15:I15"/>
    <mergeCell ref="H16:I16"/>
    <mergeCell ref="L17:M17"/>
    <mergeCell ref="C9:D10"/>
    <mergeCell ref="E9:G10"/>
    <mergeCell ref="F62:O62"/>
    <mergeCell ref="F63:O63"/>
    <mergeCell ref="F61:O61"/>
    <mergeCell ref="N51:O51"/>
    <mergeCell ref="N52:O52"/>
    <mergeCell ref="H51:I51"/>
    <mergeCell ref="F34:M34"/>
    <mergeCell ref="F29:G29"/>
    <mergeCell ref="F30:M30"/>
    <mergeCell ref="L29:M29"/>
    <mergeCell ref="H29:I29"/>
    <mergeCell ref="J29:K29"/>
    <mergeCell ref="F51:G51"/>
    <mergeCell ref="F52:M5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6"/>
  <sheetViews>
    <sheetView zoomScaleNormal="100" workbookViewId="0">
      <pane ySplit="4" topLeftCell="A5" activePane="bottomLeft" state="frozen"/>
      <selection pane="bottomLeft"/>
    </sheetView>
  </sheetViews>
  <sheetFormatPr defaultColWidth="11.42578125" defaultRowHeight="12.75"/>
  <cols>
    <col min="1" max="1" width="2.85546875" style="246" customWidth="1"/>
    <col min="2" max="2" width="2.85546875" style="68" customWidth="1"/>
    <col min="3" max="3" width="27.85546875" style="68" customWidth="1"/>
    <col min="4" max="4" width="21.42578125" style="68" customWidth="1"/>
    <col min="5" max="7" width="25.7109375" style="68" customWidth="1"/>
    <col min="8" max="8" width="25.7109375" style="112" customWidth="1"/>
    <col min="9" max="9" width="25.5703125" style="68" customWidth="1"/>
    <col min="10" max="10" width="10" style="68" customWidth="1"/>
    <col min="11" max="11" width="15.42578125" style="68" customWidth="1"/>
    <col min="12" max="14" width="13.42578125" style="68" customWidth="1"/>
    <col min="15" max="15" width="11" style="68" customWidth="1"/>
    <col min="16" max="16" width="24" style="68" customWidth="1"/>
    <col min="17" max="16384" width="11.42578125" style="68"/>
  </cols>
  <sheetData>
    <row r="1" spans="1:18" ht="12.75" customHeight="1">
      <c r="A1" s="353"/>
      <c r="B1" s="341"/>
      <c r="C1" s="15" t="s">
        <v>63</v>
      </c>
      <c r="D1" s="15"/>
      <c r="E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23"/>
      <c r="G1" s="523"/>
      <c r="H1" s="523"/>
      <c r="I1" s="355"/>
      <c r="J1" s="79"/>
      <c r="K1" s="353"/>
      <c r="L1" s="353"/>
      <c r="M1" s="353"/>
      <c r="N1" s="353"/>
      <c r="O1" s="353"/>
      <c r="P1" s="353"/>
      <c r="Q1" s="353"/>
      <c r="R1" s="353"/>
    </row>
    <row r="2" spans="1:18" ht="12.75" customHeight="1">
      <c r="A2" s="353"/>
      <c r="B2" s="353"/>
      <c r="C2" s="353"/>
      <c r="D2" s="353"/>
      <c r="E2" s="523"/>
      <c r="F2" s="523"/>
      <c r="G2" s="523"/>
      <c r="H2" s="523"/>
      <c r="I2" s="355"/>
      <c r="J2" s="79"/>
      <c r="K2" s="353"/>
      <c r="L2" s="353"/>
      <c r="M2" s="353"/>
      <c r="N2" s="353"/>
      <c r="O2" s="353"/>
      <c r="P2" s="353"/>
      <c r="Q2" s="353"/>
      <c r="R2" s="353"/>
    </row>
    <row r="3" spans="1:18">
      <c r="A3" s="353"/>
      <c r="B3" s="353"/>
      <c r="C3" s="353"/>
      <c r="D3" s="353"/>
      <c r="E3" s="523"/>
      <c r="F3" s="523"/>
      <c r="G3" s="523"/>
      <c r="H3" s="523"/>
      <c r="I3" s="355"/>
      <c r="J3" s="79"/>
      <c r="K3" s="353"/>
      <c r="L3" s="353"/>
      <c r="M3" s="353"/>
      <c r="N3" s="353"/>
      <c r="O3" s="353"/>
      <c r="P3" s="353"/>
      <c r="Q3" s="353"/>
      <c r="R3" s="353"/>
    </row>
    <row r="4" spans="1:18" s="35" customFormat="1" ht="12.75" customHeight="1">
      <c r="A4" s="356"/>
      <c r="B4" s="356"/>
      <c r="C4" s="110" t="str">
        <f>IF('Język - Language'!$B$30="Polski","            Emisje dobowe i tygodniowe","            Flat Fee daily and weekly emission")</f>
        <v xml:space="preserve">            Emisje dobowe i tygodniowe</v>
      </c>
      <c r="D4" s="80"/>
      <c r="E4" s="80"/>
      <c r="F4" s="80"/>
      <c r="G4" s="356"/>
      <c r="H4" s="340" t="str">
        <f>IF('Język - Language'!$B$30="Polski","PL","EN")</f>
        <v>PL</v>
      </c>
      <c r="I4" s="356"/>
      <c r="J4" s="356"/>
      <c r="K4" s="356"/>
      <c r="L4" s="356"/>
      <c r="M4" s="356"/>
      <c r="N4" s="356"/>
      <c r="O4" s="356"/>
      <c r="P4" s="356"/>
      <c r="Q4" s="356"/>
      <c r="R4" s="356"/>
    </row>
    <row r="5" spans="1:18" s="3" customFormat="1" ht="12.75" customHeight="1">
      <c r="A5" s="341"/>
      <c r="B5" s="341"/>
      <c r="C5" s="9"/>
      <c r="D5" s="9"/>
      <c r="E5" s="9"/>
      <c r="F5" s="9"/>
      <c r="G5" s="341"/>
      <c r="H5" s="341"/>
      <c r="I5" s="341"/>
      <c r="J5" s="341"/>
      <c r="K5" s="341"/>
      <c r="L5" s="341"/>
      <c r="M5" s="341"/>
      <c r="N5" s="341"/>
      <c r="O5" s="341"/>
      <c r="P5" s="341"/>
      <c r="Q5" s="341"/>
      <c r="R5" s="341"/>
    </row>
    <row r="6" spans="1:18" ht="12.75" customHeight="1">
      <c r="A6" s="353"/>
      <c r="B6" s="353"/>
      <c r="C6" s="33"/>
      <c r="D6" s="33"/>
      <c r="E6" s="33"/>
      <c r="F6" s="33"/>
      <c r="G6" s="33"/>
      <c r="H6" s="33"/>
      <c r="I6" s="33"/>
      <c r="J6" s="33"/>
      <c r="K6" s="33"/>
      <c r="L6" s="33"/>
      <c r="M6" s="33"/>
      <c r="N6" s="33"/>
      <c r="O6" s="33"/>
      <c r="P6" s="83"/>
      <c r="Q6" s="341"/>
      <c r="R6" s="353"/>
    </row>
    <row r="7" spans="1:18" ht="25.5" customHeight="1">
      <c r="A7" s="353"/>
      <c r="B7" s="353"/>
      <c r="C7" s="209" t="str">
        <f>IF('Język - Language'!$B$30="Polski",CONCATENATE("PANEL PREMIUM",CHAR(10),"MIEJSCE EMISJI"),CONCATENATE("PANEL PREMIUM",CHAR(10),"PLACE OF EMISSION"))</f>
        <v>PANEL PREMIUM
MIEJSCE EMISJI</v>
      </c>
      <c r="D7" s="440" t="str">
        <f>IF('Język - Language'!$B$30="Polski","FORMAT","FORMAT")</f>
        <v>FORMAT</v>
      </c>
      <c r="E7" s="553" t="str">
        <f>IF('Język - Language'!$B$30="Polski","MODEL EMISJI","MODEL OF EMISSION")</f>
        <v>MODEL EMISJI</v>
      </c>
      <c r="F7" s="553"/>
      <c r="G7" s="553" t="str">
        <f>IF('Język - Language'!$B$30="Polski","CENA","PRICE")</f>
        <v>CENA</v>
      </c>
      <c r="H7" s="559"/>
      <c r="I7" s="39"/>
      <c r="J7" s="39"/>
      <c r="K7" s="8"/>
      <c r="L7" s="8"/>
      <c r="M7" s="27"/>
      <c r="N7" s="341"/>
      <c r="O7" s="341"/>
      <c r="P7" s="341"/>
      <c r="Q7" s="341"/>
      <c r="R7" s="341"/>
    </row>
    <row r="8" spans="1:18" s="91" customFormat="1" ht="12.75" customHeight="1">
      <c r="A8" s="353"/>
      <c r="B8" s="325" t="s">
        <v>64</v>
      </c>
      <c r="C8" s="816" t="str">
        <f>IF('Język - Language'!$B$30="Polski","   WP SG","   WP Home Page")</f>
        <v xml:space="preserve">   WP SG</v>
      </c>
      <c r="D8" s="409" t="str">
        <f>IF('Język - Language'!$B$30="Polski","Mobile Panel Premium","Mobile Panel Premium")</f>
        <v>Mobile Panel Premium</v>
      </c>
      <c r="E8" s="814" t="str">
        <f>IF('Język - Language'!$B$30="Polski","Flat Fee / dzień","Flat Fee / 1 day")</f>
        <v>Flat Fee / dzień</v>
      </c>
      <c r="F8" s="815"/>
      <c r="G8" s="410" t="str">
        <f>IF('Język - Language'!$B$30="Polski","120 000 PLN (styczeń-październik),","120 000 PLN (Jan-Oct),")</f>
        <v>120 000 PLN (styczeń-październik),</v>
      </c>
      <c r="H8" s="411" t="str">
        <f>IF('Język - Language'!$B$30="Polski","140 000 PLN (listopad-grudzień)","140 000 PLN (Nov-Dec)")</f>
        <v>140 000 PLN (listopad-grudzień)</v>
      </c>
      <c r="I8" s="39"/>
      <c r="J8" s="39"/>
      <c r="K8" s="8"/>
      <c r="L8" s="8"/>
      <c r="M8" s="27"/>
      <c r="N8" s="341"/>
      <c r="O8" s="341"/>
      <c r="P8" s="341"/>
      <c r="Q8" s="341"/>
      <c r="R8" s="341"/>
    </row>
    <row r="9" spans="1:18" s="283" customFormat="1" ht="12.75" customHeight="1">
      <c r="A9" s="353"/>
      <c r="B9" s="754" t="s">
        <v>65</v>
      </c>
      <c r="C9" s="816"/>
      <c r="D9" s="450" t="str">
        <f>IF('Język - Language'!$B$30="Polski","Panel Premium","Panel Premium")</f>
        <v>Panel Premium</v>
      </c>
      <c r="E9" s="814"/>
      <c r="F9" s="815"/>
      <c r="G9" s="280" t="str">
        <f>IF('Język - Language'!$B$30="Polski","385 000 PLN (styczeń-październik),","375 000 PLN (Jan-Oct),")</f>
        <v>385 000 PLN (styczeń-październik),</v>
      </c>
      <c r="H9" s="279" t="str">
        <f>IF('Język - Language'!$B$30="Polski","450 000 PLN (listopad-grudzień)","450 000 PLN (Nov-Dec)")</f>
        <v>450 000 PLN (listopad-grudzień)</v>
      </c>
      <c r="I9" s="39"/>
      <c r="J9" s="39"/>
      <c r="K9" s="8"/>
      <c r="L9" s="8"/>
      <c r="M9" s="27"/>
      <c r="N9" s="341"/>
      <c r="O9" s="341"/>
      <c r="P9" s="341"/>
      <c r="Q9" s="341"/>
      <c r="R9" s="341"/>
    </row>
    <row r="10" spans="1:18" s="91" customFormat="1" ht="12.75" customHeight="1">
      <c r="A10" s="353"/>
      <c r="B10" s="754"/>
      <c r="C10" s="817"/>
      <c r="D10" s="437" t="str">
        <f>IF('Język - Language'!$B$30="Polski","Panel Premium XL","Panel Premium XL")</f>
        <v>Panel Premium XL</v>
      </c>
      <c r="E10" s="808"/>
      <c r="F10" s="809"/>
      <c r="G10" s="280" t="str">
        <f>IF('Język - Language'!$B$30="Polski","470 000 PLN (styczeń-październik),","470 000 PLN (Jan-Oct),")</f>
        <v>470 000 PLN (styczeń-październik),</v>
      </c>
      <c r="H10" s="279" t="str">
        <f>IF('Język - Language'!$B$30="Polski","565 000 PLN (listopad-grudzień)","565 000 PLN (Nov-Dec)")</f>
        <v>565 000 PLN (listopad-grudzień)</v>
      </c>
      <c r="I10" s="39"/>
      <c r="J10" s="39"/>
      <c r="K10" s="8"/>
      <c r="L10" s="8"/>
      <c r="M10" s="27"/>
      <c r="N10" s="341"/>
      <c r="O10" s="341"/>
      <c r="P10" s="341"/>
      <c r="Q10" s="341"/>
      <c r="R10" s="341"/>
    </row>
    <row r="11" spans="1:18" s="91" customFormat="1" ht="12.75" customHeight="1">
      <c r="A11" s="353"/>
      <c r="B11" s="754"/>
      <c r="C11" s="824" t="str">
        <f>IF('Język - Language'!$B$30="Polski","   Pudelek SG","   Pudelek Home Page")</f>
        <v xml:space="preserve">   Pudelek SG</v>
      </c>
      <c r="D11" s="444" t="str">
        <f>IF('Język - Language'!$B$30="Polski","Panel Premium","Panel Premium")</f>
        <v>Panel Premium</v>
      </c>
      <c r="E11" s="806" t="str">
        <f>IF('Język - Language'!$B$30="Polski","Flat Fee / dzień","Flat Fee / 1 day")</f>
        <v>Flat Fee / dzień</v>
      </c>
      <c r="F11" s="807"/>
      <c r="G11" s="758">
        <v>30000</v>
      </c>
      <c r="H11" s="759"/>
      <c r="I11" s="39"/>
      <c r="J11" s="39"/>
      <c r="K11" s="8"/>
      <c r="L11" s="8"/>
      <c r="M11" s="27"/>
      <c r="N11" s="341"/>
      <c r="O11" s="341"/>
      <c r="P11" s="341"/>
      <c r="Q11" s="341"/>
      <c r="R11" s="341"/>
    </row>
    <row r="12" spans="1:18" s="91" customFormat="1" ht="12.75" customHeight="1">
      <c r="A12" s="353"/>
      <c r="B12" s="754"/>
      <c r="C12" s="817"/>
      <c r="D12" s="437" t="str">
        <f>IF('Język - Language'!$B$30="Polski","Panel Premium XL","Panel Premium XL")</f>
        <v>Panel Premium XL</v>
      </c>
      <c r="E12" s="808"/>
      <c r="F12" s="809"/>
      <c r="G12" s="804">
        <v>37500</v>
      </c>
      <c r="H12" s="805"/>
      <c r="I12" s="39"/>
      <c r="J12" s="39"/>
      <c r="K12" s="8"/>
      <c r="L12" s="8"/>
      <c r="M12" s="27"/>
      <c r="N12" s="341"/>
      <c r="O12" s="341"/>
      <c r="P12" s="341"/>
      <c r="Q12" s="341"/>
      <c r="R12" s="341"/>
    </row>
    <row r="13" spans="1:18" s="91" customFormat="1" ht="12.75" customHeight="1">
      <c r="A13" s="353"/>
      <c r="B13" s="754"/>
      <c r="C13" s="210" t="str">
        <f>IF('Język - Language'!$B$30="Polski","Poczta WP","WP Email Service")</f>
        <v>Poczta WP</v>
      </c>
      <c r="D13" s="821" t="str">
        <f>IF('Język - Language'!$B$30="Polski","Panel Premium","Panel Premium")</f>
        <v>Panel Premium</v>
      </c>
      <c r="E13" s="810" t="str">
        <f>IF('Język - Language'!$B$30="Polski","Flat Fee (z wykluczeniami) / dzień","Flat Fee (exclusions) / 1 day")</f>
        <v>Flat Fee (z wykluczeniami) / dzień</v>
      </c>
      <c r="F13" s="811"/>
      <c r="G13" s="802">
        <v>110000</v>
      </c>
      <c r="H13" s="803"/>
      <c r="I13" s="39"/>
      <c r="J13" s="39"/>
      <c r="K13" s="8"/>
      <c r="L13" s="8"/>
      <c r="M13" s="27"/>
      <c r="N13" s="341"/>
      <c r="O13" s="341"/>
      <c r="P13" s="341"/>
      <c r="Q13" s="341"/>
      <c r="R13" s="341"/>
    </row>
    <row r="14" spans="1:18" s="91" customFormat="1" ht="12.75" customHeight="1">
      <c r="A14" s="353"/>
      <c r="B14" s="754"/>
      <c r="C14" s="211" t="s">
        <v>66</v>
      </c>
      <c r="D14" s="822"/>
      <c r="E14" s="773" t="str">
        <f>IF('Język - Language'!$B$30="Polski","Flat Fee / tydzień","Flat Fee / 1 week")</f>
        <v>Flat Fee / tydzień</v>
      </c>
      <c r="F14" s="774"/>
      <c r="G14" s="758">
        <v>25000</v>
      </c>
      <c r="H14" s="759"/>
      <c r="I14" s="39"/>
      <c r="J14" s="39"/>
      <c r="K14" s="8"/>
      <c r="L14" s="8"/>
      <c r="M14" s="27"/>
      <c r="N14" s="341"/>
      <c r="O14" s="341"/>
      <c r="P14" s="341"/>
      <c r="Q14" s="341"/>
      <c r="R14" s="341"/>
    </row>
    <row r="15" spans="1:18" s="91" customFormat="1" ht="12.75" customHeight="1">
      <c r="A15" s="353"/>
      <c r="B15" s="754"/>
      <c r="C15" s="203" t="s">
        <v>67</v>
      </c>
      <c r="D15" s="822"/>
      <c r="E15" s="775"/>
      <c r="F15" s="776"/>
      <c r="G15" s="645">
        <v>20000</v>
      </c>
      <c r="H15" s="646"/>
      <c r="I15" s="39"/>
      <c r="J15" s="39"/>
      <c r="K15" s="8"/>
      <c r="L15" s="8"/>
      <c r="M15" s="27"/>
      <c r="N15" s="341"/>
      <c r="O15" s="341"/>
      <c r="P15" s="341"/>
      <c r="Q15" s="341"/>
      <c r="R15" s="341"/>
    </row>
    <row r="16" spans="1:18" s="91" customFormat="1" ht="12.75" customHeight="1">
      <c r="A16" s="353"/>
      <c r="B16" s="754"/>
      <c r="C16" s="203" t="s">
        <v>68</v>
      </c>
      <c r="D16" s="822"/>
      <c r="E16" s="775"/>
      <c r="F16" s="776"/>
      <c r="G16" s="645">
        <v>20000</v>
      </c>
      <c r="H16" s="646"/>
      <c r="I16" s="39"/>
      <c r="J16" s="39"/>
      <c r="K16" s="8"/>
      <c r="L16" s="8"/>
      <c r="M16" s="27"/>
      <c r="N16" s="341"/>
      <c r="O16" s="341"/>
      <c r="P16" s="341"/>
      <c r="Q16" s="341"/>
      <c r="R16" s="341"/>
    </row>
    <row r="17" spans="1:18" s="91" customFormat="1" ht="12.75" customHeight="1">
      <c r="A17" s="353"/>
      <c r="B17" s="754"/>
      <c r="C17" s="202" t="s">
        <v>69</v>
      </c>
      <c r="D17" s="822"/>
      <c r="E17" s="775"/>
      <c r="F17" s="776"/>
      <c r="G17" s="645">
        <v>20000</v>
      </c>
      <c r="H17" s="646"/>
      <c r="I17" s="39"/>
      <c r="J17" s="39"/>
      <c r="K17" s="8"/>
      <c r="L17" s="8"/>
      <c r="M17" s="27"/>
      <c r="N17" s="341"/>
      <c r="O17" s="341"/>
      <c r="P17" s="341"/>
      <c r="Q17" s="341"/>
      <c r="R17" s="341"/>
    </row>
    <row r="18" spans="1:18" s="135" customFormat="1" ht="12.75" customHeight="1">
      <c r="A18" s="353"/>
      <c r="B18" s="754"/>
      <c r="C18" s="202" t="str">
        <f>IF('Język - Language'!$B$30="Polski","SG Money","Money Home Page")</f>
        <v>SG Money</v>
      </c>
      <c r="D18" s="822"/>
      <c r="E18" s="775"/>
      <c r="F18" s="776"/>
      <c r="G18" s="645">
        <v>50000</v>
      </c>
      <c r="H18" s="646"/>
      <c r="I18" s="39"/>
      <c r="J18" s="39"/>
      <c r="K18" s="8"/>
      <c r="L18" s="8"/>
      <c r="M18" s="27"/>
      <c r="N18" s="341"/>
      <c r="O18" s="341"/>
      <c r="P18" s="341"/>
      <c r="Q18" s="341"/>
      <c r="R18" s="341"/>
    </row>
    <row r="19" spans="1:18" s="135" customFormat="1" ht="12.75" customHeight="1">
      <c r="A19" s="353"/>
      <c r="B19" s="754"/>
      <c r="C19" s="462" t="str">
        <f>IF('Język - Language'!$B$30="Polski","dobreprogramy¹","dobreprogramy¹")</f>
        <v>dobreprogramy¹</v>
      </c>
      <c r="D19" s="822"/>
      <c r="E19" s="777"/>
      <c r="F19" s="778"/>
      <c r="G19" s="768">
        <v>25000</v>
      </c>
      <c r="H19" s="769"/>
      <c r="I19" s="39"/>
      <c r="J19" s="39"/>
      <c r="K19" s="8"/>
      <c r="L19" s="8"/>
      <c r="M19" s="27"/>
      <c r="N19" s="341"/>
      <c r="O19" s="341"/>
      <c r="P19" s="341"/>
      <c r="Q19" s="341"/>
      <c r="R19" s="341"/>
    </row>
    <row r="20" spans="1:18" s="91" customFormat="1" ht="12.75" customHeight="1">
      <c r="A20" s="353"/>
      <c r="B20" s="754"/>
      <c r="C20" s="461" t="s">
        <v>70</v>
      </c>
      <c r="D20" s="822"/>
      <c r="E20" s="773" t="str">
        <f>IF('Język - Language'!$B$30="Polski","Flat Fee / dzień","Flat Fee / 1 day")</f>
        <v>Flat Fee / dzień</v>
      </c>
      <c r="F20" s="774"/>
      <c r="G20" s="758">
        <v>60000</v>
      </c>
      <c r="H20" s="759"/>
      <c r="I20" s="39"/>
      <c r="J20" s="39"/>
      <c r="K20" s="8"/>
      <c r="L20" s="8"/>
      <c r="M20" s="27"/>
      <c r="N20" s="341"/>
      <c r="O20" s="341"/>
      <c r="P20" s="341"/>
      <c r="Q20" s="341"/>
      <c r="R20" s="341"/>
    </row>
    <row r="21" spans="1:18" s="91" customFormat="1" ht="12.75" customHeight="1">
      <c r="A21" s="353"/>
      <c r="B21" s="755"/>
      <c r="C21" s="204" t="s">
        <v>71</v>
      </c>
      <c r="D21" s="823"/>
      <c r="E21" s="777"/>
      <c r="F21" s="778"/>
      <c r="G21" s="804">
        <v>20000</v>
      </c>
      <c r="H21" s="805"/>
      <c r="I21" s="39"/>
      <c r="J21" s="39"/>
      <c r="K21" s="8"/>
      <c r="L21" s="8"/>
      <c r="M21" s="27"/>
      <c r="N21" s="341"/>
      <c r="O21" s="341"/>
      <c r="P21" s="341"/>
      <c r="Q21" s="341"/>
      <c r="R21" s="341"/>
    </row>
    <row r="22" spans="1:18" s="135" customFormat="1" ht="12.75" customHeight="1">
      <c r="A22" s="353"/>
      <c r="B22" s="272"/>
      <c r="C22" s="231" t="str">
        <f>IF('Język - Language'!$B$30="Polski","¹ emisja z wyłączeniem forum.dobreprogramy.pl","¹ emission without section forum.dobreprogramy.pl")</f>
        <v>¹ emisja z wyłączeniem forum.dobreprogramy.pl</v>
      </c>
      <c r="D22" s="475"/>
      <c r="E22" s="208"/>
      <c r="F22" s="208"/>
      <c r="G22" s="208"/>
      <c r="H22" s="208"/>
      <c r="I22" s="39"/>
      <c r="J22" s="39"/>
      <c r="K22" s="8"/>
      <c r="L22" s="8"/>
      <c r="M22" s="27"/>
      <c r="N22" s="341"/>
      <c r="O22" s="341"/>
      <c r="P22" s="341"/>
      <c r="Q22" s="341"/>
      <c r="R22" s="341"/>
    </row>
    <row r="23" spans="1:18" s="119" customFormat="1" ht="12.75" customHeight="1">
      <c r="A23" s="353"/>
      <c r="B23" s="353"/>
      <c r="C23" s="139"/>
      <c r="D23" s="139"/>
      <c r="E23" s="84"/>
      <c r="F23" s="84"/>
      <c r="G23" s="39"/>
      <c r="H23" s="39"/>
      <c r="I23" s="8"/>
      <c r="J23" s="8"/>
      <c r="K23" s="27"/>
      <c r="L23" s="341"/>
      <c r="M23" s="341"/>
      <c r="N23" s="341"/>
      <c r="O23" s="341"/>
      <c r="P23" s="341"/>
      <c r="Q23" s="353"/>
      <c r="R23" s="353"/>
    </row>
    <row r="24" spans="1:18" s="113" customFormat="1" ht="12.75" customHeight="1">
      <c r="A24" s="353"/>
      <c r="B24" s="353"/>
      <c r="C24" s="139"/>
      <c r="D24" s="139"/>
      <c r="E24" s="84"/>
      <c r="F24" s="84"/>
      <c r="G24" s="39"/>
      <c r="H24" s="39"/>
      <c r="I24" s="8"/>
      <c r="J24" s="8"/>
      <c r="K24" s="27"/>
      <c r="L24" s="341"/>
      <c r="M24" s="341"/>
      <c r="N24" s="341"/>
      <c r="O24" s="341"/>
      <c r="P24" s="341"/>
      <c r="Q24" s="353"/>
      <c r="R24" s="353"/>
    </row>
    <row r="25" spans="1:18" s="116" customFormat="1" ht="25.5" customHeight="1">
      <c r="A25" s="353"/>
      <c r="B25" s="353"/>
      <c r="C25" s="818" t="str">
        <f>IF('Język - Language'!$B$30="Polski",CONCATENATE("NAGŁÓWEK SPONSOROWANY",CHAR(10),"MIEJSCE EMISJI"),CONCATENATE("SPONSORED HEADING",CHAR(10),"PLACE OF EMISSION"))</f>
        <v>NAGŁÓWEK SPONSOROWANY
MIEJSCE EMISJI</v>
      </c>
      <c r="D25" s="818"/>
      <c r="E25" s="772" t="str">
        <f>IF('Język - Language'!$B$30="Polski",CONCATENATE("Nagłówek sponsorowany standard",CHAR(10),"(FF / tydzień)"),CONCATENATE("Sponsored heading standard",CHAR(10),"(FF / week)"))</f>
        <v>Nagłówek sponsorowany standard
(FF / tydzień)</v>
      </c>
      <c r="F25" s="772"/>
      <c r="G25" s="772" t="str">
        <f>IF('Język - Language'!$B$30="Polski","Nagłówek sponsorowany (FF / tydzień) + tapeta (cap 1xuu / dzień)","Sponsored heading (FF / week) + Wallpaper (cap 1xuu / day)")</f>
        <v>Nagłówek sponsorowany (FF / tydzień) + tapeta (cap 1xuu / dzień)</v>
      </c>
      <c r="H25" s="779"/>
      <c r="I25" s="7"/>
      <c r="J25" s="429"/>
      <c r="K25" s="429"/>
      <c r="L25" s="353"/>
      <c r="M25" s="353"/>
      <c r="N25" s="353"/>
      <c r="O25" s="353"/>
      <c r="P25" s="353"/>
      <c r="Q25" s="353"/>
      <c r="R25" s="353"/>
    </row>
    <row r="26" spans="1:18" s="116" customFormat="1" ht="12.75" customHeight="1">
      <c r="A26" s="353"/>
      <c r="B26" s="754" t="s">
        <v>65</v>
      </c>
      <c r="C26" s="819" t="s">
        <v>57</v>
      </c>
      <c r="D26" s="820"/>
      <c r="E26" s="770">
        <v>721000</v>
      </c>
      <c r="F26" s="771"/>
      <c r="G26" s="770">
        <v>1100000</v>
      </c>
      <c r="H26" s="771"/>
      <c r="I26" s="278"/>
      <c r="J26" s="429"/>
      <c r="K26" s="429"/>
      <c r="L26" s="429"/>
      <c r="M26" s="353"/>
      <c r="N26" s="341"/>
      <c r="O26" s="353"/>
      <c r="P26" s="353"/>
      <c r="Q26" s="353"/>
      <c r="R26" s="353"/>
    </row>
    <row r="27" spans="1:18" s="116" customFormat="1" ht="12.75" customHeight="1">
      <c r="A27" s="353"/>
      <c r="B27" s="754"/>
      <c r="C27" s="760" t="s">
        <v>72</v>
      </c>
      <c r="D27" s="761"/>
      <c r="E27" s="756">
        <v>710000</v>
      </c>
      <c r="F27" s="757"/>
      <c r="G27" s="756">
        <v>1075000</v>
      </c>
      <c r="H27" s="757"/>
      <c r="I27" s="278"/>
      <c r="J27" s="429"/>
      <c r="K27" s="429"/>
      <c r="L27" s="429"/>
      <c r="M27" s="353"/>
      <c r="N27" s="341"/>
      <c r="O27" s="353"/>
      <c r="P27" s="353"/>
      <c r="Q27" s="353"/>
      <c r="R27" s="353"/>
    </row>
    <row r="28" spans="1:18" s="116" customFormat="1" ht="12.75" customHeight="1">
      <c r="A28" s="353"/>
      <c r="B28" s="754"/>
      <c r="C28" s="760" t="s">
        <v>73</v>
      </c>
      <c r="D28" s="761"/>
      <c r="E28" s="756">
        <v>58000</v>
      </c>
      <c r="F28" s="757"/>
      <c r="G28" s="756">
        <v>88000</v>
      </c>
      <c r="H28" s="757"/>
      <c r="I28" s="278"/>
      <c r="J28" s="429"/>
      <c r="K28" s="429"/>
      <c r="L28" s="429"/>
      <c r="M28" s="353"/>
      <c r="N28" s="341"/>
      <c r="O28" s="353"/>
      <c r="P28" s="353"/>
      <c r="Q28" s="353"/>
      <c r="R28" s="353"/>
    </row>
    <row r="29" spans="1:18" s="116" customFormat="1" ht="12.75" customHeight="1">
      <c r="A29" s="353"/>
      <c r="B29" s="754"/>
      <c r="C29" s="760" t="s">
        <v>74</v>
      </c>
      <c r="D29" s="761"/>
      <c r="E29" s="756">
        <v>144000</v>
      </c>
      <c r="F29" s="757"/>
      <c r="G29" s="756">
        <v>215000</v>
      </c>
      <c r="H29" s="757"/>
      <c r="I29" s="278"/>
      <c r="J29" s="429"/>
      <c r="K29" s="429"/>
      <c r="L29" s="429"/>
      <c r="M29" s="353"/>
      <c r="N29" s="341"/>
      <c r="O29" s="353"/>
      <c r="P29" s="353"/>
      <c r="Q29" s="353"/>
      <c r="R29" s="353"/>
    </row>
    <row r="30" spans="1:18" s="120" customFormat="1" ht="12.75" customHeight="1">
      <c r="A30" s="353"/>
      <c r="B30" s="754"/>
      <c r="C30" s="760" t="s">
        <v>75</v>
      </c>
      <c r="D30" s="761"/>
      <c r="E30" s="756">
        <v>201000</v>
      </c>
      <c r="F30" s="757"/>
      <c r="G30" s="756">
        <v>304000</v>
      </c>
      <c r="H30" s="757"/>
      <c r="I30" s="278"/>
      <c r="J30" s="429"/>
      <c r="K30" s="429"/>
      <c r="L30" s="429"/>
      <c r="M30" s="353"/>
      <c r="N30" s="341"/>
      <c r="O30" s="353"/>
      <c r="P30" s="353"/>
      <c r="Q30" s="353"/>
      <c r="R30" s="353"/>
    </row>
    <row r="31" spans="1:18" s="116" customFormat="1" ht="12.75" customHeight="1">
      <c r="A31" s="353"/>
      <c r="B31" s="754"/>
      <c r="C31" s="760" t="s">
        <v>76</v>
      </c>
      <c r="D31" s="761"/>
      <c r="E31" s="756">
        <v>37000</v>
      </c>
      <c r="F31" s="757"/>
      <c r="G31" s="756">
        <v>56000</v>
      </c>
      <c r="H31" s="757"/>
      <c r="I31" s="278"/>
      <c r="J31" s="429"/>
      <c r="K31" s="429"/>
      <c r="L31" s="429"/>
      <c r="M31" s="353"/>
      <c r="N31" s="341"/>
      <c r="O31" s="353"/>
      <c r="P31" s="353"/>
      <c r="Q31" s="353"/>
      <c r="R31" s="353"/>
    </row>
    <row r="32" spans="1:18" s="120" customFormat="1" ht="12.75" customHeight="1">
      <c r="A32" s="353"/>
      <c r="B32" s="754"/>
      <c r="C32" s="760" t="s">
        <v>77</v>
      </c>
      <c r="D32" s="761"/>
      <c r="E32" s="756">
        <v>518000</v>
      </c>
      <c r="F32" s="757"/>
      <c r="G32" s="756">
        <v>785000</v>
      </c>
      <c r="H32" s="757"/>
      <c r="I32" s="278"/>
      <c r="J32" s="429"/>
      <c r="K32" s="429"/>
      <c r="L32" s="429"/>
      <c r="M32" s="353"/>
      <c r="N32" s="341"/>
      <c r="O32" s="353"/>
      <c r="P32" s="353"/>
      <c r="Q32" s="353"/>
      <c r="R32" s="353"/>
    </row>
    <row r="33" spans="1:14" s="120" customFormat="1" ht="12.75" customHeight="1">
      <c r="A33" s="353"/>
      <c r="B33" s="754"/>
      <c r="C33" s="760" t="str">
        <f>IF('Język - Language'!$B$30="Polski","Pakiet Money ROS","Money Run On Site")</f>
        <v>Pakiet Money ROS</v>
      </c>
      <c r="D33" s="761"/>
      <c r="E33" s="756">
        <v>514000</v>
      </c>
      <c r="F33" s="757"/>
      <c r="G33" s="756">
        <v>771000</v>
      </c>
      <c r="H33" s="757"/>
      <c r="I33" s="278"/>
      <c r="J33" s="429"/>
      <c r="K33" s="429"/>
      <c r="L33" s="429"/>
      <c r="M33" s="353"/>
      <c r="N33" s="341"/>
    </row>
    <row r="34" spans="1:14" s="120" customFormat="1" ht="12.75" customHeight="1">
      <c r="A34" s="353"/>
      <c r="B34" s="754"/>
      <c r="C34" s="760" t="s">
        <v>78</v>
      </c>
      <c r="D34" s="761"/>
      <c r="E34" s="756">
        <v>24000</v>
      </c>
      <c r="F34" s="757"/>
      <c r="G34" s="756">
        <v>35000</v>
      </c>
      <c r="H34" s="757"/>
      <c r="I34" s="278"/>
      <c r="J34" s="429"/>
      <c r="K34" s="429"/>
      <c r="L34" s="429"/>
      <c r="M34" s="353"/>
      <c r="N34" s="341"/>
    </row>
    <row r="35" spans="1:14" s="120" customFormat="1" ht="12.75" customHeight="1">
      <c r="A35" s="353"/>
      <c r="B35" s="754"/>
      <c r="C35" s="760" t="s">
        <v>79</v>
      </c>
      <c r="D35" s="761"/>
      <c r="E35" s="756">
        <v>9700</v>
      </c>
      <c r="F35" s="757"/>
      <c r="G35" s="756">
        <v>14500</v>
      </c>
      <c r="H35" s="757"/>
      <c r="I35" s="278"/>
      <c r="J35" s="429"/>
      <c r="K35" s="429"/>
      <c r="L35" s="429"/>
      <c r="M35" s="353"/>
      <c r="N35" s="341"/>
    </row>
    <row r="36" spans="1:14" s="120" customFormat="1" ht="12.75" customHeight="1">
      <c r="A36" s="353"/>
      <c r="B36" s="754"/>
      <c r="C36" s="760" t="s">
        <v>80</v>
      </c>
      <c r="D36" s="761"/>
      <c r="E36" s="756">
        <v>45000</v>
      </c>
      <c r="F36" s="757"/>
      <c r="G36" s="756">
        <v>68000</v>
      </c>
      <c r="H36" s="757"/>
      <c r="I36" s="278"/>
      <c r="J36" s="429"/>
      <c r="K36" s="429"/>
      <c r="L36" s="429"/>
      <c r="M36" s="353"/>
      <c r="N36" s="341"/>
    </row>
    <row r="37" spans="1:14" s="120" customFormat="1" ht="12.75" customHeight="1">
      <c r="A37" s="353"/>
      <c r="B37" s="754"/>
      <c r="C37" s="760" t="s">
        <v>66</v>
      </c>
      <c r="D37" s="761"/>
      <c r="E37" s="756">
        <v>45500</v>
      </c>
      <c r="F37" s="757"/>
      <c r="G37" s="756">
        <v>69000</v>
      </c>
      <c r="H37" s="757"/>
      <c r="I37" s="278"/>
      <c r="J37" s="429"/>
      <c r="K37" s="429"/>
      <c r="L37" s="429"/>
      <c r="M37" s="353"/>
      <c r="N37" s="341"/>
    </row>
    <row r="38" spans="1:14" s="120" customFormat="1" ht="12.75" customHeight="1">
      <c r="A38" s="353"/>
      <c r="B38" s="754"/>
      <c r="C38" s="760" t="s">
        <v>81</v>
      </c>
      <c r="D38" s="761"/>
      <c r="E38" s="756">
        <v>11000</v>
      </c>
      <c r="F38" s="757"/>
      <c r="G38" s="756">
        <v>16000</v>
      </c>
      <c r="H38" s="757"/>
      <c r="I38" s="278"/>
      <c r="J38" s="429"/>
      <c r="K38" s="429"/>
      <c r="L38" s="429"/>
      <c r="M38" s="353"/>
      <c r="N38" s="341"/>
    </row>
    <row r="39" spans="1:14" s="120" customFormat="1" ht="12.75" customHeight="1">
      <c r="A39" s="353"/>
      <c r="B39" s="754"/>
      <c r="C39" s="760" t="s">
        <v>82</v>
      </c>
      <c r="D39" s="761"/>
      <c r="E39" s="756">
        <v>57000</v>
      </c>
      <c r="F39" s="757"/>
      <c r="G39" s="756">
        <v>86000</v>
      </c>
      <c r="H39" s="757"/>
      <c r="I39" s="278"/>
      <c r="J39" s="429"/>
      <c r="K39" s="429"/>
      <c r="L39" s="429"/>
      <c r="M39" s="353"/>
      <c r="N39" s="341"/>
    </row>
    <row r="40" spans="1:14" s="116" customFormat="1" ht="12.75" customHeight="1">
      <c r="A40" s="353"/>
      <c r="B40" s="754"/>
      <c r="C40" s="783" t="s">
        <v>83</v>
      </c>
      <c r="D40" s="784"/>
      <c r="E40" s="793">
        <v>14000</v>
      </c>
      <c r="F40" s="794"/>
      <c r="G40" s="793">
        <v>21000</v>
      </c>
      <c r="H40" s="794"/>
      <c r="I40" s="278"/>
      <c r="J40" s="429"/>
      <c r="K40" s="429"/>
      <c r="L40" s="429"/>
      <c r="M40" s="353"/>
      <c r="N40" s="341"/>
    </row>
    <row r="41" spans="1:14" s="277" customFormat="1" ht="12.75" customHeight="1">
      <c r="A41" s="353"/>
      <c r="B41" s="271"/>
      <c r="C41" s="276"/>
      <c r="D41" s="276"/>
      <c r="E41" s="275"/>
      <c r="F41" s="275"/>
      <c r="G41" s="275"/>
      <c r="H41" s="275"/>
      <c r="I41" s="278"/>
      <c r="J41" s="429"/>
      <c r="K41" s="429"/>
      <c r="L41" s="429"/>
      <c r="M41" s="353"/>
      <c r="N41" s="341"/>
    </row>
    <row r="42" spans="1:14" s="119" customFormat="1" ht="12.75" customHeight="1">
      <c r="A42" s="353"/>
      <c r="B42" s="353"/>
      <c r="C42" s="121"/>
      <c r="D42" s="121"/>
      <c r="E42" s="122"/>
      <c r="F42" s="122"/>
      <c r="G42" s="122"/>
      <c r="H42" s="122"/>
      <c r="I42" s="429"/>
      <c r="J42" s="429"/>
      <c r="K42" s="429"/>
      <c r="L42" s="353"/>
      <c r="M42" s="341"/>
      <c r="N42" s="353"/>
    </row>
    <row r="43" spans="1:14" s="126" customFormat="1" ht="25.5" customHeight="1">
      <c r="A43" s="353"/>
      <c r="B43" s="353"/>
      <c r="C43" s="800" t="str">
        <f>IF('Język - Language'!$B$30="Polski",CONCATENATE("SPONSORING NAGŁÓWKA SEKCJI WP SG",CHAR(10),"MIEJSCE EMISJI"),CONCATENATE("SPONSORING OF WP HP SECTION HEADING",CHAR(10),"PLACE OF EMISSION"))</f>
        <v>SPONSORING NAGŁÓWKA SEKCJI WP SG
MIEJSCE EMISJI</v>
      </c>
      <c r="D43" s="800"/>
      <c r="E43" s="232" t="str">
        <f>IF('Język - Language'!$B$30="Polski","MODEL EMISJI","MODEL OF EMISSION")</f>
        <v>MODEL EMISJI</v>
      </c>
      <c r="F43" s="232" t="str">
        <f>IF('Język - Language'!$B$30="Polski","DZIEŃ","1 DAY")</f>
        <v>DZIEŃ</v>
      </c>
      <c r="G43" s="232" t="str">
        <f>IF('Język - Language'!$B$30="Polski","TYDZIEŃ","1 WEEK")</f>
        <v>TYDZIEŃ</v>
      </c>
      <c r="H43" s="233" t="str">
        <f>IF('Język - Language'!$B$30="Polski","MIESIĄC","1 MONTH")</f>
        <v>MIESIĄC</v>
      </c>
      <c r="I43" s="429"/>
      <c r="J43" s="429"/>
      <c r="K43" s="429"/>
      <c r="L43" s="353"/>
      <c r="M43" s="341"/>
      <c r="N43" s="353"/>
    </row>
    <row r="44" spans="1:14" s="126" customFormat="1" ht="12.75" customHeight="1">
      <c r="A44" s="353"/>
      <c r="B44" s="754" t="s">
        <v>65</v>
      </c>
      <c r="C44" s="212" t="s">
        <v>84</v>
      </c>
      <c r="D44" s="213"/>
      <c r="E44" s="812" t="str">
        <f>IF('Język - Language'!$B$30="Polski","Flat Fee","Flat Fee")</f>
        <v>Flat Fee</v>
      </c>
      <c r="F44" s="264">
        <v>39600</v>
      </c>
      <c r="G44" s="264">
        <v>198000</v>
      </c>
      <c r="H44" s="265">
        <v>495000</v>
      </c>
      <c r="I44" s="429"/>
      <c r="J44" s="429"/>
      <c r="K44" s="429"/>
      <c r="L44" s="353"/>
      <c r="M44" s="341"/>
      <c r="N44" s="353"/>
    </row>
    <row r="45" spans="1:14" s="126" customFormat="1" ht="12.75" customHeight="1">
      <c r="A45" s="353"/>
      <c r="B45" s="754"/>
      <c r="C45" s="214" t="s">
        <v>85</v>
      </c>
      <c r="D45" s="215"/>
      <c r="E45" s="812"/>
      <c r="F45" s="266">
        <v>32760</v>
      </c>
      <c r="G45" s="266">
        <v>163800</v>
      </c>
      <c r="H45" s="267">
        <v>409500</v>
      </c>
      <c r="I45" s="429"/>
      <c r="J45" s="429"/>
      <c r="K45" s="429"/>
      <c r="L45" s="353"/>
      <c r="M45" s="341"/>
      <c r="N45" s="353"/>
    </row>
    <row r="46" spans="1:14" s="126" customFormat="1" ht="12.75" customHeight="1">
      <c r="A46" s="353"/>
      <c r="B46" s="754"/>
      <c r="C46" s="214" t="s">
        <v>86</v>
      </c>
      <c r="D46" s="215"/>
      <c r="E46" s="812"/>
      <c r="F46" s="266">
        <v>29160</v>
      </c>
      <c r="G46" s="266">
        <v>145800</v>
      </c>
      <c r="H46" s="266">
        <v>364500</v>
      </c>
      <c r="I46" s="429"/>
      <c r="J46" s="429"/>
      <c r="K46" s="429"/>
      <c r="L46" s="353"/>
      <c r="M46" s="341"/>
      <c r="N46" s="353"/>
    </row>
    <row r="47" spans="1:14" s="126" customFormat="1" ht="12.75" customHeight="1">
      <c r="A47" s="353"/>
      <c r="B47" s="754"/>
      <c r="C47" s="214" t="s">
        <v>87</v>
      </c>
      <c r="D47" s="215"/>
      <c r="E47" s="812"/>
      <c r="F47" s="266">
        <v>22680</v>
      </c>
      <c r="G47" s="266">
        <v>113400</v>
      </c>
      <c r="H47" s="266">
        <v>283500</v>
      </c>
      <c r="I47" s="429"/>
      <c r="J47" s="429"/>
      <c r="K47" s="429"/>
      <c r="L47" s="353"/>
      <c r="M47" s="341"/>
      <c r="N47" s="353"/>
    </row>
    <row r="48" spans="1:14" s="127" customFormat="1" ht="12.75" customHeight="1">
      <c r="A48" s="353"/>
      <c r="B48" s="754"/>
      <c r="C48" s="214" t="s">
        <v>88</v>
      </c>
      <c r="D48" s="215"/>
      <c r="E48" s="812"/>
      <c r="F48" s="266">
        <v>25560</v>
      </c>
      <c r="G48" s="266">
        <v>127800</v>
      </c>
      <c r="H48" s="267">
        <v>319500</v>
      </c>
      <c r="I48" s="429"/>
      <c r="J48" s="429"/>
      <c r="K48" s="429"/>
      <c r="L48" s="353"/>
      <c r="M48" s="341"/>
      <c r="N48" s="353"/>
    </row>
    <row r="49" spans="1:17" s="128" customFormat="1" ht="12.75" customHeight="1">
      <c r="A49" s="353"/>
      <c r="B49" s="754"/>
      <c r="C49" s="216" t="s">
        <v>89</v>
      </c>
      <c r="D49" s="215"/>
      <c r="E49" s="812"/>
      <c r="F49" s="266">
        <v>24120</v>
      </c>
      <c r="G49" s="267">
        <v>120600</v>
      </c>
      <c r="H49" s="267">
        <v>301500</v>
      </c>
      <c r="I49" s="429"/>
      <c r="J49" s="429"/>
      <c r="K49" s="429"/>
      <c r="L49" s="353"/>
      <c r="M49" s="341"/>
      <c r="N49" s="353"/>
      <c r="O49" s="353"/>
      <c r="P49" s="353"/>
      <c r="Q49" s="353"/>
    </row>
    <row r="50" spans="1:17" s="128" customFormat="1" ht="12.75" customHeight="1">
      <c r="A50" s="353"/>
      <c r="B50" s="754"/>
      <c r="C50" s="217" t="s">
        <v>90</v>
      </c>
      <c r="D50" s="218"/>
      <c r="E50" s="813"/>
      <c r="F50" s="268">
        <v>21600</v>
      </c>
      <c r="G50" s="263">
        <v>108000</v>
      </c>
      <c r="H50" s="263">
        <v>270000</v>
      </c>
      <c r="I50" s="429"/>
      <c r="J50" s="429"/>
      <c r="K50" s="429"/>
      <c r="L50" s="353"/>
      <c r="M50" s="341"/>
      <c r="N50" s="353"/>
      <c r="O50" s="353"/>
      <c r="P50" s="353"/>
      <c r="Q50" s="353"/>
    </row>
    <row r="51" spans="1:17" s="277" customFormat="1" ht="12.75" customHeight="1">
      <c r="A51" s="353"/>
      <c r="B51" s="271"/>
      <c r="C51" s="269"/>
      <c r="D51" s="269"/>
      <c r="E51" s="463"/>
      <c r="F51" s="270"/>
      <c r="G51" s="270"/>
      <c r="H51" s="270"/>
      <c r="I51" s="429"/>
      <c r="J51" s="429"/>
      <c r="K51" s="429"/>
      <c r="L51" s="353"/>
      <c r="M51" s="341"/>
      <c r="N51" s="353"/>
      <c r="O51" s="353"/>
      <c r="P51" s="353"/>
      <c r="Q51" s="353"/>
    </row>
    <row r="52" spans="1:17">
      <c r="A52" s="353"/>
      <c r="B52" s="353"/>
      <c r="C52" s="33"/>
      <c r="D52" s="33"/>
      <c r="E52" s="33"/>
      <c r="F52" s="33"/>
      <c r="G52" s="33"/>
      <c r="H52" s="33"/>
      <c r="I52" s="33"/>
      <c r="J52" s="33"/>
      <c r="K52" s="33"/>
      <c r="L52" s="33"/>
      <c r="M52" s="33"/>
      <c r="N52" s="33"/>
      <c r="O52" s="33"/>
      <c r="P52" s="83"/>
      <c r="Q52" s="341"/>
    </row>
    <row r="53" spans="1:17" ht="25.5" customHeight="1">
      <c r="A53" s="353"/>
      <c r="B53" s="353"/>
      <c r="C53" s="209" t="str">
        <f>IF('Język - Language'!$B$30="Polski",CONCATENATE("POZOSTAŁE EMISJE FLAT FEE",CHAR(10),"MIEJSCE EMISJI"),CONCATENATE("OTHER FLAT FEE EMISSION",CHAR(10),"PLACE OF EMISSION"))</f>
        <v>POZOSTAŁE EMISJE FLAT FEE
MIEJSCE EMISJI</v>
      </c>
      <c r="D53" s="440" t="str">
        <f>IF('Język - Language'!$B$30="Polski","SEKCJA","PLACE OF EMISSION")</f>
        <v>SEKCJA</v>
      </c>
      <c r="E53" s="440" t="str">
        <f>IF('Język - Language'!$B$30="Polski","MODEL EMISJI","MODEL OF EMISSION")</f>
        <v>MODEL EMISJI</v>
      </c>
      <c r="F53" s="553" t="str">
        <f>IF('Język - Language'!$B$30="Polski","FORMAT","FORMAT")</f>
        <v>FORMAT</v>
      </c>
      <c r="G53" s="553"/>
      <c r="H53" s="451" t="str">
        <f>IF('Język - Language'!$B$30="Polski","CENA","PRICE")</f>
        <v>CENA</v>
      </c>
      <c r="I53" s="353"/>
      <c r="J53" s="353"/>
      <c r="K53" s="353"/>
      <c r="L53" s="353"/>
      <c r="M53" s="353"/>
      <c r="N53" s="353"/>
      <c r="O53" s="353"/>
      <c r="P53" s="353"/>
      <c r="Q53" s="353"/>
    </row>
    <row r="54" spans="1:17" s="82" customFormat="1" ht="12.75" customHeight="1">
      <c r="A54" s="353"/>
      <c r="B54" s="795" t="s">
        <v>64</v>
      </c>
      <c r="C54" s="785" t="str">
        <f>IF('Język - Language'!$B$30="Polski","WP SG","WP Home Page")</f>
        <v>WP SG</v>
      </c>
      <c r="D54" s="763" t="str">
        <f>IF('Język - Language'!$B$30="Polski","WP SG - MOBILE","WP Home Page - MOBILE")</f>
        <v>WP SG - MOBILE</v>
      </c>
      <c r="E54" s="412" t="str">
        <f>IF('Język - Language'!$B$30="Polski","Flat Fee / dzień","Flat Fee / 1 day")</f>
        <v>Flat Fee / dzień</v>
      </c>
      <c r="F54" s="796" t="str">
        <f>IF('Język - Language'!$B$30="Polski","Rectangle","Rectangle")</f>
        <v>Rectangle</v>
      </c>
      <c r="G54" s="797"/>
      <c r="H54" s="413">
        <v>60000</v>
      </c>
      <c r="I54" s="353"/>
      <c r="J54" s="353"/>
      <c r="K54" s="353"/>
      <c r="L54" s="353"/>
      <c r="M54" s="353"/>
      <c r="N54" s="353"/>
      <c r="O54" s="353"/>
      <c r="P54" s="353"/>
      <c r="Q54" s="353"/>
    </row>
    <row r="55" spans="1:17" s="82" customFormat="1" ht="12.75" customHeight="1">
      <c r="A55" s="353"/>
      <c r="B55" s="795"/>
      <c r="C55" s="785"/>
      <c r="D55" s="763"/>
      <c r="E55" s="466" t="str">
        <f>IF('Język - Language'!$B$30="Polski","Flat Fee / dzień","Flat Fee / 1 day")</f>
        <v>Flat Fee / dzień</v>
      </c>
      <c r="F55" s="798" t="str">
        <f>IF('Język - Language'!$B$30="Polski","Halfpage","Halfpage")</f>
        <v>Halfpage</v>
      </c>
      <c r="G55" s="799"/>
      <c r="H55" s="413">
        <v>90000</v>
      </c>
      <c r="I55" s="353"/>
      <c r="J55" s="353"/>
      <c r="K55" s="353"/>
      <c r="L55" s="353"/>
      <c r="M55" s="353"/>
      <c r="N55" s="353"/>
      <c r="O55" s="353"/>
      <c r="P55" s="353"/>
      <c r="Q55" s="353"/>
    </row>
    <row r="56" spans="1:17" s="91" customFormat="1" ht="12.75" customHeight="1">
      <c r="A56" s="353"/>
      <c r="B56" s="795"/>
      <c r="C56" s="786"/>
      <c r="D56" s="763"/>
      <c r="E56" s="414" t="str">
        <f>IF('Język - Language'!$B$30="Polski","Flat Fee / dzień","Flat Fee / 1 day")</f>
        <v>Flat Fee / dzień</v>
      </c>
      <c r="F56" s="798" t="str">
        <f>IF('Język - Language'!$B$30="Polski","Paralaksa","Paralaxa")</f>
        <v>Paralaksa</v>
      </c>
      <c r="G56" s="799"/>
      <c r="H56" s="413">
        <v>70000</v>
      </c>
      <c r="I56" s="353"/>
      <c r="J56" s="353"/>
      <c r="K56" s="353"/>
      <c r="L56" s="353"/>
      <c r="M56" s="353"/>
      <c r="N56" s="353"/>
      <c r="O56" s="353"/>
      <c r="P56" s="353"/>
      <c r="Q56" s="353"/>
    </row>
    <row r="57" spans="1:17" s="82" customFormat="1" ht="12.75" customHeight="1">
      <c r="A57" s="353"/>
      <c r="B57" s="754" t="s">
        <v>65</v>
      </c>
      <c r="C57" s="780" t="s">
        <v>91</v>
      </c>
      <c r="D57" s="764" t="str">
        <f>IF('Język - Language'!$B$30="Polski","ROS","ROS")</f>
        <v>ROS</v>
      </c>
      <c r="E57" s="764" t="str">
        <f>IF('Język - Language'!$B$30="Polski","Flat Fee / dzień","Flat Fee / 1 day")</f>
        <v>Flat Fee / dzień</v>
      </c>
      <c r="F57" s="791"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7" s="792"/>
      <c r="H57" s="259">
        <v>17000</v>
      </c>
      <c r="I57" s="353"/>
      <c r="J57" s="83"/>
      <c r="K57" s="353"/>
      <c r="L57" s="353"/>
      <c r="M57" s="353"/>
      <c r="N57" s="353"/>
      <c r="O57" s="353"/>
      <c r="P57" s="353"/>
      <c r="Q57" s="353"/>
    </row>
    <row r="58" spans="1:17" s="82" customFormat="1" ht="12.75" customHeight="1">
      <c r="A58" s="353"/>
      <c r="B58" s="754"/>
      <c r="C58" s="781"/>
      <c r="D58" s="765"/>
      <c r="E58" s="765"/>
      <c r="F58" s="787" t="str">
        <f>IF('Język - Language'!$B$30="Polski",CONCATENATE("Galeria ",CHAR(34),"Foto Moda",CHAR(34),": SG Box 225x280px (pod 10) / ROS 4. zajawka 340x99px ",CHAR(34),"Gorące tematy",CHAR(34)),CONCATENATE(CHAR(34),"Photo Fashion",CHAR(34)," Gallery: HP Box 225x280px (under no 10) / ROS 4th teaser 340x99px ",CHAR(34),"Hot news",CHAR(34)))</f>
        <v>Galeria "Foto Moda": SG Box 225x280px (pod 10) / ROS 4. zajawka 340x99px "Gorące tematy"</v>
      </c>
      <c r="G58" s="788"/>
      <c r="H58" s="260">
        <v>8500</v>
      </c>
      <c r="I58" s="353"/>
      <c r="J58" s="83"/>
      <c r="K58" s="353"/>
      <c r="L58" s="353"/>
      <c r="M58" s="353"/>
      <c r="N58" s="353"/>
      <c r="O58" s="353"/>
      <c r="P58" s="353"/>
      <c r="Q58" s="353"/>
    </row>
    <row r="59" spans="1:17" s="82" customFormat="1" ht="12.75" customHeight="1">
      <c r="A59" s="353"/>
      <c r="B59" s="754"/>
      <c r="C59" s="781"/>
      <c r="D59" s="765"/>
      <c r="E59" s="801"/>
      <c r="F59" s="787" t="str">
        <f>IF('Język - Language'!$B$30="Polski",CONCATENATE("Galeria ",CHAR(34),"Foto Moda",CHAR(34),": SG Box 225x280px (pod 20) / ROS 8. zajawka 340x99px ",CHAR(34),"Gorące tematy",CHAR(34)),CONCATENATE(CHAR(34),"Photo Fashion",CHAR(34)," Gallery: HP Box 225x280px (under no 20) / ROS 8th teaser 340x99px ",CHAR(34),"Hot news",CHAR(34)))</f>
        <v>Galeria "Foto Moda": SG Box 225x280px (pod 20) / ROS 8. zajawka 340x99px "Gorące tematy"</v>
      </c>
      <c r="G59" s="788"/>
      <c r="H59" s="260">
        <v>7000</v>
      </c>
      <c r="I59" s="353"/>
      <c r="J59" s="83"/>
      <c r="K59" s="353"/>
      <c r="L59" s="353"/>
      <c r="M59" s="353"/>
      <c r="N59" s="353"/>
      <c r="O59" s="353"/>
      <c r="P59" s="353"/>
      <c r="Q59" s="353"/>
    </row>
    <row r="60" spans="1:17" s="82" customFormat="1" ht="12.75" customHeight="1">
      <c r="A60" s="353"/>
      <c r="B60" s="754"/>
      <c r="C60" s="781"/>
      <c r="D60" s="765"/>
      <c r="E60" s="765" t="str">
        <f>IF('Język - Language'!$B$30="Polski","Flat Fee / tydzień","Flat Fee / 1 week")</f>
        <v>Flat Fee / tydzień</v>
      </c>
      <c r="F60" s="787"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60" s="788"/>
      <c r="H60" s="260">
        <v>100000</v>
      </c>
      <c r="I60" s="353"/>
      <c r="J60" s="83"/>
      <c r="K60" s="353"/>
      <c r="L60" s="353"/>
      <c r="M60" s="353"/>
      <c r="N60" s="353"/>
      <c r="O60" s="353"/>
      <c r="P60" s="353"/>
      <c r="Q60" s="353"/>
    </row>
    <row r="61" spans="1:17" s="82" customFormat="1" ht="12.75" customHeight="1">
      <c r="A61" s="353"/>
      <c r="B61" s="754"/>
      <c r="C61" s="781"/>
      <c r="D61" s="765"/>
      <c r="E61" s="765"/>
      <c r="F61" s="787" t="str">
        <f>IF('Język - Language'!$B$30="Polski",CONCATENATE("Galeria ",CHAR(34),"Foto Moda",CHAR(34),": SG Box 225x280px (pod 10) / ROS 4. zajawka 340x99px ",CHAR(34),"Gorące tematy",CHAR(34)),CONCATENATE(CHAR(34),"Photo Fashion",CHAR(34)," Gallery: HP Box 225x280px (under no 10) / ROS 4th teaser 340x99px ",CHAR(34),"Hot news",CHAR(34)))</f>
        <v>Galeria "Foto Moda": SG Box 225x280px (pod 10) / ROS 4. zajawka 340x99px "Gorące tematy"</v>
      </c>
      <c r="G61" s="788"/>
      <c r="H61" s="260">
        <v>50000</v>
      </c>
      <c r="I61" s="353"/>
      <c r="J61" s="83"/>
      <c r="K61" s="353"/>
      <c r="L61" s="353"/>
      <c r="M61" s="353"/>
      <c r="N61" s="353"/>
      <c r="O61" s="353"/>
      <c r="P61" s="353"/>
      <c r="Q61" s="353"/>
    </row>
    <row r="62" spans="1:17" s="82" customFormat="1" ht="12.75" customHeight="1">
      <c r="A62" s="353"/>
      <c r="B62" s="754"/>
      <c r="C62" s="781"/>
      <c r="D62" s="765"/>
      <c r="E62" s="766"/>
      <c r="F62" s="789" t="str">
        <f>IF('Język - Language'!$B$30="Polski",CONCATENATE("Galeria ",CHAR(34),"Foto Moda",CHAR(34),": SG Box 225x280px (pod 20) / ROS 8. zajawka 340x99px ",CHAR(34),"Gorące tematy",CHAR(34)),CONCATENATE(CHAR(34),"Photo Fashion",CHAR(34)," Gallery: HP Box 225x280px (under no 20) / ROS 8th teaser 340x99px ",CHAR(34),"Hot news",CHAR(34)))</f>
        <v>Galeria "Foto Moda": SG Box 225x280px (pod 20) / ROS 8. zajawka 340x99px "Gorące tematy"</v>
      </c>
      <c r="G62" s="790"/>
      <c r="H62" s="262">
        <v>40000</v>
      </c>
      <c r="I62" s="353"/>
      <c r="J62" s="83"/>
      <c r="K62" s="353"/>
      <c r="L62" s="353"/>
      <c r="M62" s="353"/>
      <c r="N62" s="353"/>
      <c r="O62" s="353"/>
      <c r="P62" s="353"/>
      <c r="Q62" s="353"/>
    </row>
    <row r="63" spans="1:17" s="82" customFormat="1" ht="12.75" customHeight="1">
      <c r="A63" s="353"/>
      <c r="B63" s="754"/>
      <c r="C63" s="781"/>
      <c r="D63" s="765"/>
      <c r="E63" s="219" t="str">
        <f>IF('Język - Language'!$B$30="Polski","Flat Fee / dzień","Flat Fee / 1 day")</f>
        <v>Flat Fee / dzień</v>
      </c>
      <c r="F63" s="791" t="str">
        <f>IF('Język - Language'!$B$30="Polski","Halfpage","Halfpage")</f>
        <v>Halfpage</v>
      </c>
      <c r="G63" s="792"/>
      <c r="H63" s="259">
        <v>70000</v>
      </c>
      <c r="I63" s="353"/>
      <c r="J63" s="83"/>
      <c r="K63" s="353"/>
      <c r="L63" s="353"/>
      <c r="M63" s="353"/>
      <c r="N63" s="353"/>
      <c r="O63" s="353"/>
      <c r="P63" s="353"/>
      <c r="Q63" s="353"/>
    </row>
    <row r="64" spans="1:17" s="82" customFormat="1" ht="12.75" customHeight="1">
      <c r="A64" s="353"/>
      <c r="B64" s="755"/>
      <c r="C64" s="782"/>
      <c r="D64" s="766"/>
      <c r="E64" s="465" t="str">
        <f>IF('Język - Language'!$B$30="Polski","Flat Fee / tydzień","Flat Fee / 1 week")</f>
        <v>Flat Fee / tydzień</v>
      </c>
      <c r="F64" s="789" t="str">
        <f>IF('Język - Language'!$B$30="Polski","Halfpage","Halfpage")</f>
        <v>Halfpage</v>
      </c>
      <c r="G64" s="790"/>
      <c r="H64" s="261">
        <v>210000</v>
      </c>
      <c r="I64" s="353"/>
      <c r="J64" s="83"/>
      <c r="K64" s="353"/>
      <c r="L64" s="353"/>
      <c r="M64" s="353"/>
      <c r="N64" s="353"/>
      <c r="O64" s="353"/>
      <c r="P64" s="353"/>
      <c r="Q64" s="353"/>
    </row>
    <row r="65" spans="3:15">
      <c r="C65" s="205" t="str">
        <f>IF('Język - Language'!$B$30="Polski","¹ cena uzależniona od statystyk w wybrane dni ","¹ price depends on daily statistics on a given day")</f>
        <v xml:space="preserve">¹ cena uzależniona od statystyk w wybrane dni </v>
      </c>
      <c r="D65" s="419"/>
      <c r="E65" s="419"/>
      <c r="F65" s="419"/>
      <c r="G65" s="419"/>
      <c r="H65" s="419"/>
      <c r="I65" s="353"/>
      <c r="J65" s="353"/>
      <c r="K65" s="353"/>
      <c r="L65" s="83"/>
      <c r="M65" s="353"/>
      <c r="N65" s="353"/>
      <c r="O65" s="353"/>
    </row>
    <row r="66" spans="3:15" ht="12.75" customHeight="1">
      <c r="C66" s="353"/>
      <c r="D66" s="353"/>
      <c r="E66" s="353"/>
      <c r="F66" s="353"/>
      <c r="G66" s="353"/>
      <c r="H66" s="353"/>
      <c r="I66" s="353"/>
      <c r="J66" s="353"/>
      <c r="K66" s="353"/>
      <c r="L66" s="353"/>
      <c r="M66" s="353"/>
      <c r="N66" s="353"/>
      <c r="O66" s="341"/>
    </row>
    <row r="68" spans="3:15">
      <c r="C68" s="114"/>
      <c r="D68" s="114"/>
      <c r="E68" s="114"/>
      <c r="F68" s="114"/>
      <c r="G68" s="114"/>
      <c r="H68" s="341"/>
      <c r="I68" s="353"/>
      <c r="J68" s="353"/>
      <c r="K68" s="353"/>
      <c r="L68" s="353"/>
      <c r="M68" s="353"/>
      <c r="N68" s="353"/>
      <c r="O68" s="353"/>
    </row>
    <row r="70" spans="3:15" ht="12.75" customHeight="1">
      <c r="C70" s="115"/>
      <c r="D70" s="762"/>
      <c r="E70" s="767"/>
      <c r="F70" s="467"/>
      <c r="G70" s="114"/>
      <c r="H70" s="341"/>
      <c r="I70" s="353"/>
      <c r="J70" s="353"/>
      <c r="K70" s="353"/>
      <c r="L70" s="353"/>
      <c r="M70" s="353"/>
      <c r="N70" s="353"/>
      <c r="O70" s="353"/>
    </row>
    <row r="71" spans="3:15" ht="12.75" customHeight="1">
      <c r="C71" s="115"/>
      <c r="D71" s="762"/>
      <c r="E71" s="767"/>
      <c r="F71" s="467"/>
      <c r="G71" s="114"/>
      <c r="H71" s="341"/>
      <c r="I71" s="353"/>
      <c r="J71" s="353"/>
      <c r="K71" s="353"/>
      <c r="L71" s="353"/>
      <c r="M71" s="353"/>
      <c r="N71" s="353"/>
      <c r="O71" s="353"/>
    </row>
    <row r="72" spans="3:15" ht="12.75" customHeight="1">
      <c r="C72" s="115"/>
      <c r="D72" s="762"/>
      <c r="E72" s="767"/>
      <c r="F72" s="467"/>
      <c r="G72" s="114"/>
      <c r="H72" s="341"/>
      <c r="I72" s="353"/>
      <c r="J72" s="353"/>
      <c r="K72" s="353"/>
      <c r="L72" s="353"/>
      <c r="M72" s="353"/>
      <c r="N72" s="353"/>
      <c r="O72" s="353"/>
    </row>
    <row r="73" spans="3:15" ht="12.75" customHeight="1">
      <c r="C73" s="115"/>
      <c r="D73" s="762"/>
      <c r="E73" s="767"/>
      <c r="F73" s="467"/>
      <c r="G73" s="114"/>
      <c r="H73" s="341"/>
      <c r="I73" s="425"/>
      <c r="J73" s="353"/>
      <c r="K73" s="353"/>
      <c r="L73" s="353"/>
      <c r="M73" s="353"/>
      <c r="N73" s="353"/>
      <c r="O73" s="353"/>
    </row>
    <row r="74" spans="3:15">
      <c r="C74" s="115"/>
      <c r="D74" s="762"/>
      <c r="E74" s="467"/>
      <c r="F74" s="467"/>
      <c r="G74" s="114"/>
      <c r="H74" s="341"/>
      <c r="I74" s="425"/>
      <c r="J74" s="353"/>
      <c r="K74" s="353"/>
      <c r="L74" s="353"/>
      <c r="M74" s="353"/>
      <c r="N74" s="353"/>
      <c r="O74" s="353"/>
    </row>
    <row r="75" spans="3:15">
      <c r="C75" s="353"/>
      <c r="D75" s="353"/>
      <c r="E75" s="353"/>
      <c r="F75" s="353"/>
      <c r="G75" s="353"/>
      <c r="H75" s="353"/>
      <c r="I75" s="425"/>
      <c r="J75" s="353"/>
      <c r="K75" s="353"/>
      <c r="L75" s="353"/>
      <c r="M75" s="353"/>
      <c r="N75" s="353"/>
      <c r="O75" s="353"/>
    </row>
    <row r="76" spans="3:15">
      <c r="C76" s="353"/>
      <c r="D76" s="353"/>
      <c r="E76" s="353"/>
      <c r="F76" s="353"/>
      <c r="G76" s="353"/>
      <c r="H76" s="353"/>
      <c r="I76" s="425"/>
      <c r="J76" s="353"/>
      <c r="K76" s="353"/>
      <c r="L76" s="353"/>
      <c r="M76" s="353"/>
      <c r="N76" s="353"/>
      <c r="O76" s="353"/>
    </row>
  </sheetData>
  <mergeCells count="97">
    <mergeCell ref="C8:C10"/>
    <mergeCell ref="C31:D31"/>
    <mergeCell ref="G11:H11"/>
    <mergeCell ref="C38:D38"/>
    <mergeCell ref="C39:D39"/>
    <mergeCell ref="C32:D32"/>
    <mergeCell ref="C33:D33"/>
    <mergeCell ref="C34:D34"/>
    <mergeCell ref="C35:D35"/>
    <mergeCell ref="C36:D36"/>
    <mergeCell ref="C37:D37"/>
    <mergeCell ref="C25:D25"/>
    <mergeCell ref="C28:D28"/>
    <mergeCell ref="C26:D26"/>
    <mergeCell ref="D13:D21"/>
    <mergeCell ref="C11:C12"/>
    <mergeCell ref="E1:H3"/>
    <mergeCell ref="E44:E50"/>
    <mergeCell ref="E37:F37"/>
    <mergeCell ref="F56:G56"/>
    <mergeCell ref="G28:H28"/>
    <mergeCell ref="E8:F10"/>
    <mergeCell ref="F59:G59"/>
    <mergeCell ref="F60:G60"/>
    <mergeCell ref="E57:E59"/>
    <mergeCell ref="E60:E62"/>
    <mergeCell ref="E7:F7"/>
    <mergeCell ref="G17:H17"/>
    <mergeCell ref="G15:H15"/>
    <mergeCell ref="G13:H13"/>
    <mergeCell ref="G12:H12"/>
    <mergeCell ref="G20:H20"/>
    <mergeCell ref="E11:F12"/>
    <mergeCell ref="E20:F21"/>
    <mergeCell ref="G18:H18"/>
    <mergeCell ref="E27:F27"/>
    <mergeCell ref="E13:F13"/>
    <mergeCell ref="G21:H21"/>
    <mergeCell ref="C27:D27"/>
    <mergeCell ref="F54:G54"/>
    <mergeCell ref="F53:G53"/>
    <mergeCell ref="F55:G55"/>
    <mergeCell ref="G27:H27"/>
    <mergeCell ref="C43:D43"/>
    <mergeCell ref="E40:F40"/>
    <mergeCell ref="G32:H32"/>
    <mergeCell ref="E28:F28"/>
    <mergeCell ref="G29:H29"/>
    <mergeCell ref="E29:F29"/>
    <mergeCell ref="C57:C64"/>
    <mergeCell ref="E33:F33"/>
    <mergeCell ref="B57:B64"/>
    <mergeCell ref="C40:D40"/>
    <mergeCell ref="C54:C56"/>
    <mergeCell ref="F61:G61"/>
    <mergeCell ref="F62:G62"/>
    <mergeCell ref="F63:G63"/>
    <mergeCell ref="G40:H40"/>
    <mergeCell ref="F58:G58"/>
    <mergeCell ref="B44:B50"/>
    <mergeCell ref="F64:G64"/>
    <mergeCell ref="F57:G57"/>
    <mergeCell ref="G33:H33"/>
    <mergeCell ref="E36:F36"/>
    <mergeCell ref="B54:B56"/>
    <mergeCell ref="D70:D74"/>
    <mergeCell ref="D54:D56"/>
    <mergeCell ref="D57:D64"/>
    <mergeCell ref="E70:E73"/>
    <mergeCell ref="G7:H7"/>
    <mergeCell ref="E35:F35"/>
    <mergeCell ref="G19:H19"/>
    <mergeCell ref="G31:H31"/>
    <mergeCell ref="E31:F31"/>
    <mergeCell ref="G26:H26"/>
    <mergeCell ref="G16:H16"/>
    <mergeCell ref="E30:F30"/>
    <mergeCell ref="E26:F26"/>
    <mergeCell ref="E25:F25"/>
    <mergeCell ref="E14:F19"/>
    <mergeCell ref="G25:H25"/>
    <mergeCell ref="B9:B21"/>
    <mergeCell ref="B26:B40"/>
    <mergeCell ref="E32:F32"/>
    <mergeCell ref="G35:H35"/>
    <mergeCell ref="G14:H14"/>
    <mergeCell ref="C29:D29"/>
    <mergeCell ref="C30:D30"/>
    <mergeCell ref="E39:F39"/>
    <mergeCell ref="G36:H36"/>
    <mergeCell ref="G30:H30"/>
    <mergeCell ref="G37:H37"/>
    <mergeCell ref="G38:H38"/>
    <mergeCell ref="G39:H39"/>
    <mergeCell ref="E38:F38"/>
    <mergeCell ref="G34:H34"/>
    <mergeCell ref="E34:F34"/>
  </mergeCells>
  <pageMargins left="0.7" right="0.7" top="0.75" bottom="0.75" header="0.3" footer="0.3"/>
  <pageSetup paperSize="256" scale="55" fitToHeight="0" orientation="landscape" r:id="rId1"/>
  <ignoredErrors>
    <ignoredError sqref="D11:D12 D10 E6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Q37"/>
  <sheetViews>
    <sheetView zoomScaleNormal="100" workbookViewId="0">
      <pane ySplit="4" topLeftCell="A5" activePane="bottomLeft" state="frozen"/>
      <selection pane="bottomLeft"/>
    </sheetView>
  </sheetViews>
  <sheetFormatPr defaultColWidth="25" defaultRowHeight="12.75"/>
  <cols>
    <col min="1" max="1" width="5.7109375" style="2" customWidth="1"/>
    <col min="2" max="2" width="28.42578125" style="2" customWidth="1"/>
    <col min="3" max="3" width="20" style="2" customWidth="1"/>
    <col min="4" max="4" width="20" style="283" customWidth="1"/>
    <col min="5" max="9" width="20" style="2" customWidth="1"/>
    <col min="10" max="10" width="14.28515625" style="2" customWidth="1"/>
    <col min="11" max="16384" width="25" style="2"/>
  </cols>
  <sheetData>
    <row r="1" spans="1:8" ht="12.75" customHeight="1">
      <c r="A1" s="353"/>
      <c r="B1" s="353"/>
      <c r="C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23"/>
      <c r="E1" s="523"/>
      <c r="F1" s="523"/>
      <c r="G1" s="523"/>
      <c r="H1" s="355"/>
    </row>
    <row r="2" spans="1:8" ht="12.75" customHeight="1">
      <c r="A2" s="353"/>
      <c r="B2" s="353"/>
      <c r="C2" s="523"/>
      <c r="D2" s="523"/>
      <c r="E2" s="523"/>
      <c r="F2" s="523"/>
      <c r="G2" s="523"/>
      <c r="H2" s="355"/>
    </row>
    <row r="3" spans="1:8" ht="12.75" customHeight="1">
      <c r="A3" s="353"/>
      <c r="B3" s="353"/>
      <c r="C3" s="523"/>
      <c r="D3" s="523"/>
      <c r="E3" s="523"/>
      <c r="F3" s="523"/>
      <c r="G3" s="523"/>
      <c r="H3" s="355"/>
    </row>
    <row r="4" spans="1:8" s="35" customFormat="1" ht="12.75" customHeight="1">
      <c r="A4" s="356"/>
      <c r="B4" s="36" t="str">
        <f>IF('Język - Language'!$B$30="Polski","            Poczta - Mailing reklamowy, emisje stałe","            Email service - Advertising mailing, flat fee emissions")</f>
        <v xml:space="preserve">            Poczta - Mailing reklamowy, emisje stałe</v>
      </c>
      <c r="C4" s="356"/>
      <c r="D4" s="356"/>
      <c r="E4" s="356"/>
      <c r="F4" s="356"/>
      <c r="G4" s="340" t="str">
        <f>IF('Język - Language'!$B$30="Polski","PL","EN")</f>
        <v>PL</v>
      </c>
      <c r="H4" s="356"/>
    </row>
    <row r="5" spans="1:8" ht="12.75" customHeight="1">
      <c r="A5" s="353"/>
      <c r="B5" s="353"/>
      <c r="C5" s="353"/>
      <c r="D5" s="353"/>
      <c r="E5" s="353"/>
      <c r="F5" s="353"/>
      <c r="G5" s="353"/>
      <c r="H5" s="353"/>
    </row>
    <row r="6" spans="1:8" ht="12.75" customHeight="1">
      <c r="A6" s="353"/>
      <c r="B6" s="341"/>
      <c r="C6" s="341"/>
      <c r="D6" s="341"/>
      <c r="E6" s="341"/>
      <c r="F6" s="341"/>
      <c r="G6" s="341"/>
      <c r="H6" s="353"/>
    </row>
    <row r="7" spans="1:8">
      <c r="A7" s="341"/>
      <c r="B7" s="826" t="str">
        <f>IF('Język - Language'!$B$30="Polski","MIEJSCE EMISJI","PLACE OF EMISSION")</f>
        <v>MIEJSCE EMISJI</v>
      </c>
      <c r="C7" s="648" t="str">
        <f>IF('Język - Language'!$B$30="Polski","FORMAT GRAFICZNY","ADVERTISING FORMAT
")</f>
        <v>FORMAT GRAFICZNY</v>
      </c>
      <c r="D7" s="441"/>
      <c r="E7" s="825" t="s">
        <v>92</v>
      </c>
      <c r="F7" s="825"/>
      <c r="G7" s="222" t="s">
        <v>93</v>
      </c>
      <c r="H7" s="353"/>
    </row>
    <row r="8" spans="1:8" ht="12.75" customHeight="1">
      <c r="A8" s="341"/>
      <c r="B8" s="826"/>
      <c r="C8" s="648"/>
      <c r="D8" s="441"/>
      <c r="E8" s="470" t="str">
        <f>IF('Język - Language'!$B$30="Polski","DZIEŃ","DAY")</f>
        <v>DZIEŃ</v>
      </c>
      <c r="F8" s="441" t="str">
        <f>IF('Język - Language'!$B$30="Polski","TYDZIEŃ","WEEK")</f>
        <v>TYDZIEŃ</v>
      </c>
      <c r="G8" s="471" t="str">
        <f>IF('Język - Language'!$B$30="Polski","TYDZIEŃ","WEEK")</f>
        <v>TYDZIEŃ</v>
      </c>
      <c r="H8" s="55"/>
    </row>
    <row r="9" spans="1:8" ht="12.75" customHeight="1">
      <c r="A9" s="353"/>
      <c r="B9" s="822" t="str">
        <f>IF('Język - Language'!$B$30="Polski","Strona logowania Poczty","Logging in")</f>
        <v>Strona logowania Poczty</v>
      </c>
      <c r="C9" s="642" t="str">
        <f>IF('Język - Language'!$B$30="Polski","Login Box","Login Box")</f>
        <v>Login Box</v>
      </c>
      <c r="D9" s="644"/>
      <c r="E9" s="367" t="s">
        <v>94</v>
      </c>
      <c r="F9" s="367">
        <v>350000</v>
      </c>
      <c r="G9" s="247">
        <v>100000</v>
      </c>
      <c r="H9" s="353"/>
    </row>
    <row r="10" spans="1:8" s="52" customFormat="1" ht="12.75" customHeight="1">
      <c r="A10" s="353"/>
      <c r="B10" s="822"/>
      <c r="C10" s="577" t="str">
        <f>IF('Język - Language'!$B$30="Polski","Full Page Login Box","Full Page Login Box")</f>
        <v>Full Page Login Box</v>
      </c>
      <c r="D10" s="579"/>
      <c r="E10" s="248" t="s">
        <v>94</v>
      </c>
      <c r="F10" s="249">
        <v>615000</v>
      </c>
      <c r="G10" s="250">
        <v>150000</v>
      </c>
      <c r="H10" s="353"/>
    </row>
    <row r="11" spans="1:8" s="52" customFormat="1" ht="12.75" customHeight="1">
      <c r="A11" s="353"/>
      <c r="B11" s="822"/>
      <c r="C11" s="577" t="str">
        <f>IF('Język - Language'!$B$30="Polski","Mobile Login Box","Mobile Login Box")</f>
        <v>Mobile Login Box</v>
      </c>
      <c r="D11" s="579"/>
      <c r="E11" s="248" t="s">
        <v>94</v>
      </c>
      <c r="F11" s="367">
        <v>240000</v>
      </c>
      <c r="G11" s="196">
        <v>70000</v>
      </c>
      <c r="H11" s="353"/>
    </row>
    <row r="12" spans="1:8" s="52" customFormat="1" ht="12.75" customHeight="1">
      <c r="A12" s="353"/>
      <c r="B12" s="822"/>
      <c r="C12" s="577" t="str">
        <f>IF('Język - Language'!$B$30="Polski","Login Corner + Login Box","Login Corner + Login Box")</f>
        <v>Login Corner + Login Box</v>
      </c>
      <c r="D12" s="579"/>
      <c r="E12" s="248" t="s">
        <v>94</v>
      </c>
      <c r="F12" s="248" t="s">
        <v>94</v>
      </c>
      <c r="G12" s="196">
        <v>165000</v>
      </c>
      <c r="H12" s="353"/>
    </row>
    <row r="13" spans="1:8" s="52" customFormat="1" ht="12.75" customHeight="1">
      <c r="A13" s="353"/>
      <c r="B13" s="822"/>
      <c r="C13" s="577" t="str">
        <f>IF('Język - Language'!$B$30="Polski","Login Corner + Full Page Login Box","Login Corner + Full Page Login Box")</f>
        <v>Login Corner + Full Page Login Box</v>
      </c>
      <c r="D13" s="579"/>
      <c r="E13" s="248" t="s">
        <v>94</v>
      </c>
      <c r="F13" s="248" t="s">
        <v>94</v>
      </c>
      <c r="G13" s="196">
        <v>230000</v>
      </c>
      <c r="H13" s="353"/>
    </row>
    <row r="14" spans="1:8" ht="12.75" customHeight="1">
      <c r="A14" s="353"/>
      <c r="B14" s="822"/>
      <c r="C14" s="831" t="str">
        <f>IF('Język - Language'!$B$30="Polski","Login Corner + Full Page Login Box (desktop + mobile)","Login Corner + Full Page Login Box (desktop + mobile)")</f>
        <v>Login Corner + Full Page Login Box (desktop + mobile)</v>
      </c>
      <c r="D14" s="832"/>
      <c r="E14" s="251" t="s">
        <v>94</v>
      </c>
      <c r="F14" s="252" t="s">
        <v>94</v>
      </c>
      <c r="G14" s="253">
        <v>265000</v>
      </c>
      <c r="H14" s="353"/>
    </row>
    <row r="15" spans="1:8" s="283" customFormat="1" ht="12.75" customHeight="1">
      <c r="A15" s="353"/>
      <c r="B15" s="823"/>
      <c r="C15" s="829" t="str">
        <f>IF('Język - Language'!$B$30="Polski","Login Box Poczta O2 + Login Corner SG O2","Login Box in Email Service O2 + Login Corner O2 HP")</f>
        <v>Login Box Poczta O2 + Login Corner SG O2</v>
      </c>
      <c r="D15" s="830"/>
      <c r="E15" s="256" t="s">
        <v>94</v>
      </c>
      <c r="F15" s="339" t="s">
        <v>94</v>
      </c>
      <c r="G15" s="339">
        <v>165000</v>
      </c>
      <c r="H15" s="353"/>
    </row>
    <row r="16" spans="1:8" s="57" customFormat="1" ht="12.75" customHeight="1">
      <c r="A16" s="353"/>
      <c r="B16" s="821" t="str">
        <f>IF('Język - Language'!$B$30="Polski","Interfejs Poczty","Email service interface")</f>
        <v>Interfejs Poczty</v>
      </c>
      <c r="C16" s="833" t="str">
        <f>IF('Język - Language'!$B$30="Polski","Double Billboard¹","Double Billboard¹")</f>
        <v>Double Billboard¹</v>
      </c>
      <c r="D16" s="834"/>
      <c r="E16" s="247">
        <v>90000</v>
      </c>
      <c r="F16" s="367">
        <v>300000</v>
      </c>
      <c r="G16" s="367">
        <v>75000</v>
      </c>
      <c r="H16" s="353"/>
    </row>
    <row r="17" spans="1:17" s="57" customFormat="1" ht="12.75" customHeight="1">
      <c r="A17" s="353"/>
      <c r="B17" s="822"/>
      <c r="C17" s="827" t="str">
        <f>IF('Język - Language'!$B$30="Polski","Panel Premium","Panel Premium")</f>
        <v>Panel Premium</v>
      </c>
      <c r="D17" s="828"/>
      <c r="E17" s="252">
        <v>110000</v>
      </c>
      <c r="F17" s="251" t="s">
        <v>94</v>
      </c>
      <c r="G17" s="251" t="s">
        <v>94</v>
      </c>
      <c r="H17" s="353"/>
      <c r="I17" s="353"/>
      <c r="J17" s="353"/>
      <c r="K17" s="353"/>
      <c r="L17" s="353"/>
      <c r="M17" s="353"/>
      <c r="N17" s="353"/>
      <c r="O17" s="353"/>
      <c r="P17" s="353"/>
      <c r="Q17" s="353"/>
    </row>
    <row r="18" spans="1:17" s="51" customFormat="1" ht="12.75" customHeight="1">
      <c r="A18" s="353"/>
      <c r="B18" s="822"/>
      <c r="C18" s="833" t="str">
        <f>IF('Język - Language'!$B$30="Polski","Left Box 170x200 (górny)","Left Box 170x200 (upper)")</f>
        <v>Left Box 170x200 (górny)</v>
      </c>
      <c r="D18" s="834"/>
      <c r="E18" s="247" t="s">
        <v>94</v>
      </c>
      <c r="F18" s="254">
        <v>115000</v>
      </c>
      <c r="G18" s="367">
        <v>90000</v>
      </c>
      <c r="H18" s="353"/>
      <c r="I18" s="353"/>
      <c r="J18" s="353"/>
      <c r="K18" s="353"/>
      <c r="L18" s="353"/>
      <c r="M18" s="353"/>
      <c r="N18" s="353"/>
      <c r="O18" s="353"/>
      <c r="P18" s="353"/>
      <c r="Q18" s="353"/>
    </row>
    <row r="19" spans="1:17" s="51" customFormat="1" ht="12.75" customHeight="1">
      <c r="A19" s="353"/>
      <c r="B19" s="822"/>
      <c r="C19" s="577" t="str">
        <f>IF('Język - Language'!$B$30="Polski","Left Box 170x200 (dolny)","Left Box 170x200 (lower)")</f>
        <v>Left Box 170x200 (dolny)</v>
      </c>
      <c r="D19" s="579"/>
      <c r="E19" s="250" t="s">
        <v>94</v>
      </c>
      <c r="F19" s="367">
        <v>115000</v>
      </c>
      <c r="G19" s="248">
        <v>90000</v>
      </c>
      <c r="H19" s="353"/>
      <c r="I19" s="353"/>
      <c r="J19" s="353"/>
      <c r="K19" s="353"/>
      <c r="L19" s="353"/>
      <c r="M19" s="353"/>
      <c r="N19" s="353"/>
      <c r="O19" s="353"/>
      <c r="P19" s="353"/>
      <c r="Q19" s="353"/>
    </row>
    <row r="20" spans="1:17" ht="12.75" customHeight="1">
      <c r="A20" s="353"/>
      <c r="B20" s="822"/>
      <c r="C20" s="577" t="str">
        <f>IF('Język - Language'!$B$30="Polski","Bottom Box","Bottom Box")</f>
        <v>Bottom Box</v>
      </c>
      <c r="D20" s="579"/>
      <c r="E20" s="249" t="s">
        <v>94</v>
      </c>
      <c r="F20" s="249">
        <v>300000</v>
      </c>
      <c r="G20" s="249">
        <v>60000</v>
      </c>
      <c r="H20" s="353"/>
      <c r="I20" s="353"/>
      <c r="J20" s="353"/>
      <c r="K20" s="353"/>
      <c r="L20" s="353"/>
      <c r="M20" s="353"/>
      <c r="N20" s="353"/>
      <c r="O20" s="353"/>
      <c r="P20" s="353"/>
      <c r="Q20" s="353"/>
    </row>
    <row r="21" spans="1:17" s="82" customFormat="1" ht="12.75" customHeight="1">
      <c r="A21" s="353"/>
      <c r="B21" s="822"/>
      <c r="C21" s="577" t="str">
        <f>IF('Język - Language'!$B$30="Polski","Skyscraper","Skyscraper")</f>
        <v>Skyscraper</v>
      </c>
      <c r="D21" s="579"/>
      <c r="E21" s="249" t="s">
        <v>94</v>
      </c>
      <c r="F21" s="249">
        <v>400000</v>
      </c>
      <c r="G21" s="249">
        <v>130000</v>
      </c>
      <c r="H21" s="353"/>
      <c r="I21" s="353"/>
      <c r="J21" s="353"/>
      <c r="K21" s="353"/>
      <c r="L21" s="353"/>
      <c r="M21" s="353"/>
      <c r="N21" s="353"/>
      <c r="O21" s="353"/>
      <c r="P21" s="353"/>
      <c r="Q21" s="353"/>
    </row>
    <row r="22" spans="1:17" s="47" customFormat="1" ht="12.75" customHeight="1">
      <c r="A22" s="353"/>
      <c r="B22" s="823"/>
      <c r="C22" s="827" t="str">
        <f>IF('Język - Language'!$B$30="Polski","Rectangle (podgląd załączników)","Rectangle (in a preview of attachments)")</f>
        <v>Rectangle (podgląd załączników)</v>
      </c>
      <c r="D22" s="828"/>
      <c r="E22" s="255" t="s">
        <v>94</v>
      </c>
      <c r="F22" s="255">
        <v>75000</v>
      </c>
      <c r="G22" s="255">
        <v>40000</v>
      </c>
      <c r="H22" s="353"/>
      <c r="I22" s="353"/>
      <c r="J22" s="353"/>
      <c r="K22" s="353"/>
      <c r="L22" s="353"/>
      <c r="M22" s="353"/>
      <c r="N22" s="353"/>
      <c r="O22" s="353"/>
      <c r="P22" s="353"/>
      <c r="Q22" s="353"/>
    </row>
    <row r="23" spans="1:17" s="82" customFormat="1" ht="12.75" customHeight="1">
      <c r="A23" s="353"/>
      <c r="B23" s="210" t="str">
        <f>IF('Język - Language'!$B$30="Polski","Po wylogowaniu z Poczty","After logging out")</f>
        <v>Po wylogowaniu z Poczty</v>
      </c>
      <c r="C23" s="835" t="str">
        <f>IF('Język - Language'!$B$30="Polski","Logout Box","Logout Box")</f>
        <v>Logout Box</v>
      </c>
      <c r="D23" s="836"/>
      <c r="E23" s="256" t="s">
        <v>94</v>
      </c>
      <c r="F23" s="256">
        <v>425000</v>
      </c>
      <c r="G23" s="256">
        <v>200000</v>
      </c>
      <c r="H23" s="353"/>
      <c r="I23" s="353"/>
      <c r="J23" s="353"/>
      <c r="K23" s="353"/>
      <c r="L23" s="353"/>
      <c r="M23" s="353"/>
      <c r="N23" s="353"/>
      <c r="O23" s="353"/>
      <c r="P23" s="353"/>
      <c r="Q23" s="353"/>
    </row>
    <row r="24" spans="1:17" ht="12.75" customHeight="1">
      <c r="A24" s="353"/>
      <c r="B24" s="281" t="str">
        <f>IF('Język - Language'!$B$30="Polski","¹ możliwość emisji formatu 970x300 jako Retail Dniówka z dopłatą","¹ special Retail Daily Emission is available for 970x300 format with extra charge")</f>
        <v>¹ możliwość emisji formatu 970x300 jako Retail Dniówka z dopłatą</v>
      </c>
      <c r="C24" s="4"/>
      <c r="D24" s="4"/>
      <c r="E24" s="4"/>
      <c r="F24" s="4"/>
      <c r="G24" s="4"/>
      <c r="H24" s="83"/>
      <c r="I24" s="353"/>
      <c r="J24" s="353"/>
      <c r="K24" s="353"/>
      <c r="L24" s="353"/>
      <c r="M24" s="353"/>
      <c r="N24" s="353"/>
      <c r="O24" s="353"/>
      <c r="P24" s="353"/>
      <c r="Q24" s="353"/>
    </row>
    <row r="25" spans="1:17">
      <c r="A25" s="353"/>
      <c r="B25" s="53"/>
      <c r="C25" s="28"/>
      <c r="D25" s="28"/>
      <c r="E25" s="353"/>
      <c r="F25" s="353"/>
      <c r="G25" s="353"/>
      <c r="H25" s="83"/>
      <c r="I25" s="4"/>
      <c r="J25" s="353"/>
      <c r="K25" s="353"/>
      <c r="L25" s="353"/>
      <c r="M25" s="353"/>
      <c r="N25" s="353"/>
      <c r="O25" s="353"/>
      <c r="P25" s="353"/>
      <c r="Q25" s="353"/>
    </row>
    <row r="26" spans="1:17">
      <c r="A26" s="353"/>
      <c r="B26" s="353"/>
      <c r="C26" s="353"/>
      <c r="D26" s="353"/>
      <c r="E26" s="353"/>
      <c r="F26" s="22"/>
      <c r="G26" s="353"/>
      <c r="H26" s="353"/>
      <c r="I26" s="353"/>
      <c r="J26" s="353"/>
      <c r="K26" s="353"/>
      <c r="L26" s="353"/>
      <c r="M26" s="353"/>
      <c r="N26" s="353"/>
      <c r="O26" s="353"/>
      <c r="P26" s="353"/>
      <c r="Q26" s="353"/>
    </row>
    <row r="27" spans="1:17" ht="25.5" customHeight="1">
      <c r="A27" s="341"/>
      <c r="B27" s="508" t="s">
        <v>50</v>
      </c>
      <c r="C27" s="441" t="s">
        <v>95</v>
      </c>
      <c r="D27" s="446" t="s">
        <v>96</v>
      </c>
      <c r="E27" s="103"/>
      <c r="F27" s="524"/>
      <c r="G27" s="524"/>
      <c r="H27" s="524"/>
      <c r="I27" s="524"/>
      <c r="J27" s="353"/>
      <c r="K27" s="526"/>
      <c r="L27" s="526"/>
      <c r="M27" s="526"/>
      <c r="N27" s="526"/>
      <c r="O27" s="526"/>
      <c r="P27" s="526"/>
      <c r="Q27" s="353"/>
    </row>
    <row r="28" spans="1:17" ht="25.5" customHeight="1">
      <c r="A28" s="353"/>
      <c r="B28" s="203" t="str">
        <f>IF('Język - Language'!$B$30="Polski","Mailing HTML 100 kB","Mailing HTML 100 kB")</f>
        <v>Mailing HTML 100 kB</v>
      </c>
      <c r="C28" s="324">
        <v>80</v>
      </c>
      <c r="D28" s="336">
        <v>88</v>
      </c>
      <c r="E28" s="495"/>
      <c r="F28" s="525"/>
      <c r="G28" s="525"/>
      <c r="H28" s="525"/>
      <c r="I28" s="525"/>
      <c r="J28" s="341"/>
      <c r="K28" s="428"/>
      <c r="L28" s="529"/>
      <c r="M28" s="529"/>
      <c r="N28" s="529"/>
      <c r="O28" s="529"/>
      <c r="P28" s="529"/>
      <c r="Q28" s="353"/>
    </row>
    <row r="29" spans="1:17" ht="25.5" customHeight="1">
      <c r="A29" s="353"/>
      <c r="B29" s="204" t="str">
        <f>IF('Język - Language'!$B$30="Polski","Mailing interaktywny²","Interactive Mailing²")</f>
        <v>Mailing interaktywny²</v>
      </c>
      <c r="C29" s="468">
        <v>160</v>
      </c>
      <c r="D29" s="337">
        <v>176</v>
      </c>
      <c r="E29" s="427"/>
      <c r="F29" s="64"/>
      <c r="G29" s="65"/>
      <c r="H29" s="66"/>
      <c r="I29" s="66"/>
      <c r="J29" s="341"/>
      <c r="K29" s="86"/>
      <c r="L29" s="531"/>
      <c r="M29" s="531"/>
      <c r="N29" s="531"/>
      <c r="O29" s="531"/>
      <c r="P29" s="531"/>
      <c r="Q29" s="353"/>
    </row>
    <row r="30" spans="1:17" ht="25.5" customHeight="1">
      <c r="A30" s="353"/>
      <c r="B30" s="839"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0" s="839"/>
      <c r="D30" s="839"/>
      <c r="E30" s="839"/>
      <c r="F30" s="839"/>
      <c r="G30" s="839"/>
      <c r="H30" s="839"/>
      <c r="I30" s="839"/>
      <c r="J30" s="66"/>
      <c r="K30" s="341"/>
      <c r="L30" s="86"/>
      <c r="M30" s="531"/>
      <c r="N30" s="531"/>
      <c r="O30" s="531"/>
      <c r="P30" s="531"/>
      <c r="Q30" s="531"/>
    </row>
    <row r="31" spans="1:17" ht="12.75" customHeight="1">
      <c r="A31" s="353"/>
      <c r="B31" s="839" t="str">
        <f>IF('Język - Language'!$B$30="Polski","² Minimalna wartość zamówienia to 5 000 zł NN","² Minimal order - 5 000 zł NN")</f>
        <v>² Minimalna wartość zamówienia to 5 000 zł NN</v>
      </c>
      <c r="C31" s="839"/>
      <c r="D31" s="839"/>
      <c r="E31" s="839"/>
      <c r="F31" s="839"/>
      <c r="G31" s="839"/>
      <c r="H31" s="839"/>
      <c r="I31" s="839"/>
      <c r="J31" s="66"/>
      <c r="K31" s="341"/>
      <c r="L31" s="87"/>
      <c r="M31" s="534"/>
      <c r="N31" s="534"/>
      <c r="O31" s="534"/>
      <c r="P31" s="534"/>
      <c r="Q31" s="534"/>
    </row>
    <row r="32" spans="1:17" s="125" customFormat="1" ht="12.75" customHeight="1">
      <c r="A32" s="353"/>
      <c r="B32" s="431"/>
      <c r="C32" s="431"/>
      <c r="D32" s="431"/>
      <c r="E32" s="431"/>
      <c r="F32" s="431"/>
      <c r="G32" s="431"/>
      <c r="H32" s="431"/>
      <c r="I32" s="431"/>
      <c r="J32" s="66"/>
      <c r="K32" s="341"/>
      <c r="L32" s="87"/>
      <c r="M32" s="432"/>
      <c r="N32" s="432"/>
      <c r="O32" s="432"/>
      <c r="P32" s="432"/>
      <c r="Q32" s="432"/>
    </row>
    <row r="33" spans="1:17" s="125" customFormat="1" ht="12.75" customHeight="1">
      <c r="A33" s="341"/>
      <c r="B33" s="201"/>
      <c r="C33" s="201"/>
      <c r="D33" s="201"/>
      <c r="E33" s="201"/>
      <c r="F33" s="85"/>
      <c r="G33" s="44"/>
      <c r="H33" s="45"/>
      <c r="I33" s="46"/>
      <c r="J33" s="46"/>
      <c r="K33" s="341"/>
      <c r="L33" s="87"/>
      <c r="M33" s="432"/>
      <c r="N33" s="432"/>
      <c r="O33" s="432"/>
      <c r="P33" s="432"/>
      <c r="Q33" s="432"/>
    </row>
    <row r="34" spans="1:17" ht="25.5" customHeight="1">
      <c r="A34" s="341"/>
      <c r="B34" s="207"/>
      <c r="C34" s="622" t="str">
        <f>IF('Język - Language'!$B$30="Polski","LICZBA WSZYSTKICH REKORDÓW","NUMBER OF RECORDS")</f>
        <v>LICZBA WSZYSTKICH REKORDÓW</v>
      </c>
      <c r="D34" s="624"/>
      <c r="E34" s="207" t="str">
        <f>IF('Język - Language'!$B$30="Polski","LICZBA REKORDÓW TOP MANAGEMENT","NUMBER OF TOP MANAGEMENT RECORDS")</f>
        <v>LICZBA REKORDÓW TOP MANAGEMENT</v>
      </c>
      <c r="F34" s="207" t="str">
        <f>IF('Język - Language'!$B$30="Polski","CENY CPM BEZ TARGETOWANIA","CPM, NO TARGETS")</f>
        <v>CENY CPM BEZ TARGETOWANIA</v>
      </c>
      <c r="G34" s="837" t="str">
        <f>IF('Język - Language'!$B$30="Polski","PAKIET GRUPA MONEY.PL","MONEY GROUP PACKAGE")</f>
        <v>PAKIET GRUPA MONEY.PL</v>
      </c>
      <c r="H34" s="207" t="str">
        <f>IF('Język - Language'!$B$30="Polski","LICZBA REKORDÓW","NUMBER OF RECORDS")</f>
        <v>LICZBA REKORDÓW</v>
      </c>
      <c r="I34" s="207" t="str">
        <f>IF('Język - Language'!$B$30="Polski","BEZ TARGETOWANIA","NO TARGETS")</f>
        <v>BEZ TARGETOWANIA</v>
      </c>
      <c r="J34" s="42"/>
      <c r="K34" s="341"/>
      <c r="L34" s="86"/>
      <c r="M34" s="534"/>
      <c r="N34" s="534"/>
      <c r="O34" s="534"/>
      <c r="P34" s="534"/>
      <c r="Q34" s="534"/>
    </row>
    <row r="35" spans="1:17" ht="25.5" customHeight="1">
      <c r="A35" s="199"/>
      <c r="B35" s="220" t="str">
        <f>IF('Język - Language'!$B$30="Polski","Money.pl","Money.pl")</f>
        <v>Money.pl</v>
      </c>
      <c r="C35" s="842">
        <v>282000</v>
      </c>
      <c r="D35" s="843"/>
      <c r="E35" s="221">
        <v>49166</v>
      </c>
      <c r="F35" s="282">
        <v>400</v>
      </c>
      <c r="G35" s="838"/>
      <c r="H35" s="273" t="str">
        <f>IF('Język - Language'!$B$30="Polski","do 100 000","up to 100 000")</f>
        <v>do 100 000</v>
      </c>
      <c r="I35" s="274">
        <v>360</v>
      </c>
      <c r="J35" s="41"/>
      <c r="K35" s="353"/>
      <c r="L35" s="88"/>
      <c r="M35" s="534"/>
      <c r="N35" s="534"/>
      <c r="O35" s="534"/>
      <c r="P35" s="534"/>
      <c r="Q35" s="534"/>
    </row>
    <row r="36" spans="1:17" ht="25.5" customHeight="1">
      <c r="A36" s="199"/>
      <c r="B36" s="840" t="str">
        <f>IF('Język - Language'!$B$30="Polski","TG TOP MANAGEMENT*** max 100 000 kont","TG TOP MANAGEMENT*** max 100 000 email accounts")</f>
        <v>TG TOP MANAGEMENT*** max 100 000 kont</v>
      </c>
      <c r="C36" s="841"/>
      <c r="D36" s="841"/>
      <c r="E36" s="841"/>
      <c r="F36" s="841"/>
      <c r="G36" s="841"/>
      <c r="H36" s="841"/>
      <c r="I36" s="841"/>
      <c r="J36" s="43"/>
      <c r="K36" s="353"/>
      <c r="L36" s="428"/>
      <c r="M36" s="526"/>
      <c r="N36" s="526"/>
      <c r="O36" s="526"/>
      <c r="P36" s="526"/>
      <c r="Q36" s="526"/>
    </row>
    <row r="37" spans="1:17" ht="12.75" customHeight="1">
      <c r="A37" s="353"/>
      <c r="B37" s="63"/>
      <c r="C37" s="63"/>
      <c r="D37" s="63"/>
      <c r="E37" s="63"/>
      <c r="F37" s="63"/>
      <c r="G37" s="63"/>
      <c r="H37" s="63"/>
      <c r="I37" s="353"/>
      <c r="J37" s="353"/>
      <c r="K37" s="353"/>
      <c r="L37" s="341"/>
      <c r="M37" s="341"/>
      <c r="N37" s="341"/>
      <c r="O37" s="341"/>
      <c r="P37" s="341"/>
      <c r="Q37" s="341"/>
    </row>
  </sheetData>
  <mergeCells count="39">
    <mergeCell ref="M36:Q36"/>
    <mergeCell ref="G34:G35"/>
    <mergeCell ref="K27:P27"/>
    <mergeCell ref="M34:Q34"/>
    <mergeCell ref="M31:Q31"/>
    <mergeCell ref="M35:Q35"/>
    <mergeCell ref="B31:I31"/>
    <mergeCell ref="L29:P29"/>
    <mergeCell ref="M30:Q30"/>
    <mergeCell ref="B30:I30"/>
    <mergeCell ref="H27:H28"/>
    <mergeCell ref="I27:I28"/>
    <mergeCell ref="B36:I36"/>
    <mergeCell ref="C34:D34"/>
    <mergeCell ref="C35:D35"/>
    <mergeCell ref="C14:D14"/>
    <mergeCell ref="C16:D16"/>
    <mergeCell ref="L28:P28"/>
    <mergeCell ref="F27:F28"/>
    <mergeCell ref="G27:G28"/>
    <mergeCell ref="C17:D17"/>
    <mergeCell ref="C18:D18"/>
    <mergeCell ref="C23:D23"/>
    <mergeCell ref="C1:G3"/>
    <mergeCell ref="B16:B22"/>
    <mergeCell ref="E7:F7"/>
    <mergeCell ref="B7:B8"/>
    <mergeCell ref="C7:C8"/>
    <mergeCell ref="C9:D9"/>
    <mergeCell ref="C10:D10"/>
    <mergeCell ref="C11:D11"/>
    <mergeCell ref="C21:D21"/>
    <mergeCell ref="C19:D19"/>
    <mergeCell ref="C20:D20"/>
    <mergeCell ref="C22:D22"/>
    <mergeCell ref="C12:D12"/>
    <mergeCell ref="B9:B15"/>
    <mergeCell ref="C15:D15"/>
    <mergeCell ref="C13:D13"/>
  </mergeCells>
  <pageMargins left="0.7" right="0.7" top="0.75" bottom="0.75" header="0.3" footer="0.3"/>
  <pageSetup paperSize="256" scale="6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AG107"/>
  <sheetViews>
    <sheetView zoomScaleNormal="100" workbookViewId="0">
      <pane ySplit="4" topLeftCell="A5" activePane="bottomLeft" state="frozen"/>
      <selection pane="bottomLeft"/>
    </sheetView>
  </sheetViews>
  <sheetFormatPr defaultColWidth="11.42578125" defaultRowHeight="12.75"/>
  <cols>
    <col min="1" max="1" width="2.85546875" style="283" customWidth="1"/>
    <col min="2" max="2" width="2.85546875" style="2" customWidth="1"/>
    <col min="3" max="3" width="22" style="2" customWidth="1"/>
    <col min="4" max="4" width="7.85546875" style="102" customWidth="1"/>
    <col min="5" max="5" width="12.140625" style="2" customWidth="1"/>
    <col min="6" max="6" width="20" style="102" customWidth="1"/>
    <col min="7" max="7" width="10.28515625" style="2" customWidth="1"/>
    <col min="8" max="8" width="10.28515625" style="102" customWidth="1"/>
    <col min="9" max="9" width="10.28515625" style="2" customWidth="1"/>
    <col min="10" max="10" width="10.28515625" style="102" customWidth="1"/>
    <col min="11" max="11" width="10.28515625" style="2" customWidth="1"/>
    <col min="12" max="12" width="10.28515625" style="102" customWidth="1"/>
    <col min="13" max="13" width="10.28515625" style="2" customWidth="1"/>
    <col min="14" max="14" width="10.28515625" style="102" customWidth="1"/>
    <col min="15" max="16" width="10.28515625" style="2" customWidth="1"/>
    <col min="17"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353"/>
      <c r="B1" s="353"/>
      <c r="C1" s="353"/>
      <c r="D1" s="353"/>
      <c r="E1" s="353"/>
      <c r="F1" s="353"/>
      <c r="G1" s="18"/>
      <c r="I1" s="355"/>
      <c r="J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October 10, 2018",CHAR(10),"For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K1" s="523"/>
      <c r="L1" s="523"/>
      <c r="M1" s="523"/>
      <c r="N1" s="523"/>
      <c r="O1" s="523"/>
      <c r="P1" s="523"/>
      <c r="Q1" s="355"/>
      <c r="R1" s="355"/>
      <c r="S1" s="353"/>
      <c r="T1" s="355"/>
      <c r="U1" s="355"/>
      <c r="V1" s="355"/>
      <c r="W1" s="355"/>
      <c r="X1" s="355"/>
      <c r="Y1" s="355"/>
      <c r="Z1" s="355"/>
      <c r="AA1" s="355"/>
      <c r="AB1" s="355"/>
      <c r="AC1" s="355"/>
      <c r="AD1" s="355"/>
      <c r="AE1" s="353"/>
      <c r="AF1" s="353"/>
      <c r="AG1" s="353"/>
    </row>
    <row r="2" spans="1:33" ht="12.75" customHeight="1">
      <c r="A2" s="353"/>
      <c r="B2" s="353"/>
      <c r="C2" s="353"/>
      <c r="D2" s="353"/>
      <c r="E2" s="353"/>
      <c r="F2" s="353"/>
      <c r="G2" s="18"/>
      <c r="H2" s="355"/>
      <c r="I2" s="355"/>
      <c r="J2" s="523"/>
      <c r="K2" s="523"/>
      <c r="L2" s="523"/>
      <c r="M2" s="523"/>
      <c r="N2" s="523"/>
      <c r="O2" s="523"/>
      <c r="P2" s="523"/>
      <c r="Q2" s="355"/>
      <c r="R2" s="355"/>
      <c r="S2" s="355"/>
      <c r="T2" s="355"/>
      <c r="U2" s="355"/>
      <c r="V2" s="355"/>
      <c r="W2" s="355"/>
      <c r="X2" s="355"/>
      <c r="Y2" s="355"/>
      <c r="Z2" s="355"/>
      <c r="AA2" s="355"/>
      <c r="AB2" s="355"/>
      <c r="AC2" s="355"/>
      <c r="AD2" s="355"/>
      <c r="AE2" s="353"/>
      <c r="AF2" s="353"/>
      <c r="AG2" s="353"/>
    </row>
    <row r="3" spans="1:33" ht="12.75" customHeight="1">
      <c r="A3" s="353"/>
      <c r="B3" s="353"/>
      <c r="C3" s="353"/>
      <c r="D3" s="353"/>
      <c r="E3" s="353"/>
      <c r="F3" s="353"/>
      <c r="G3" s="18"/>
      <c r="H3" s="355"/>
      <c r="I3" s="355"/>
      <c r="J3" s="523"/>
      <c r="K3" s="523"/>
      <c r="L3" s="523"/>
      <c r="M3" s="523"/>
      <c r="N3" s="523"/>
      <c r="O3" s="523"/>
      <c r="P3" s="523"/>
      <c r="Q3" s="355"/>
      <c r="R3" s="355"/>
      <c r="S3" s="355"/>
      <c r="T3" s="355"/>
      <c r="U3" s="355"/>
      <c r="V3" s="355"/>
      <c r="W3" s="355"/>
      <c r="X3" s="355"/>
      <c r="Y3" s="355"/>
      <c r="Z3" s="355"/>
      <c r="AA3" s="355"/>
      <c r="AB3" s="355"/>
      <c r="AC3" s="355"/>
      <c r="AD3" s="355"/>
      <c r="AE3" s="353"/>
      <c r="AF3" s="353"/>
      <c r="AG3" s="353"/>
    </row>
    <row r="4" spans="1:33" s="35" customFormat="1" ht="12.75" customHeight="1">
      <c r="A4" s="356"/>
      <c r="B4" s="356"/>
      <c r="C4" s="36" t="str">
        <f>IF('Język - Language'!$B$30="Polski","            Pakiety tematyczne, zasięgowe oraz reklama na serwisie","             Packages")</f>
        <v xml:space="preserve">            Pakiety tematyczne, zasięgowe oraz reklama na serwisie</v>
      </c>
      <c r="D4" s="36"/>
      <c r="E4" s="356"/>
      <c r="F4" s="356"/>
      <c r="G4" s="356"/>
      <c r="H4" s="356"/>
      <c r="I4" s="356"/>
      <c r="J4" s="356"/>
      <c r="K4" s="356"/>
      <c r="L4" s="356"/>
      <c r="M4" s="356"/>
      <c r="N4" s="356"/>
      <c r="O4" s="356"/>
      <c r="P4" s="340" t="str">
        <f>IF('Język - Language'!$B$30="Polski","PL","EN")</f>
        <v>PL</v>
      </c>
      <c r="Q4" s="356"/>
      <c r="R4" s="356"/>
      <c r="S4" s="356"/>
      <c r="T4" s="356"/>
      <c r="U4" s="356"/>
      <c r="V4" s="356"/>
      <c r="W4" s="356"/>
      <c r="X4" s="356"/>
      <c r="Y4" s="356"/>
      <c r="Z4" s="356"/>
      <c r="AA4" s="356"/>
      <c r="AB4" s="356"/>
      <c r="AC4" s="356"/>
      <c r="AD4" s="356"/>
      <c r="AE4" s="356"/>
      <c r="AF4" s="356"/>
      <c r="AG4" s="356"/>
    </row>
    <row r="5" spans="1:33" ht="12.75" customHeight="1">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row>
    <row r="6" spans="1:33" ht="12.75" customHeight="1" thickBot="1">
      <c r="A6" s="353"/>
      <c r="B6"/>
      <c r="C6" s="328"/>
      <c r="D6" s="328"/>
      <c r="E6" s="328"/>
      <c r="F6" s="328"/>
      <c r="G6" s="328"/>
      <c r="H6" s="328"/>
      <c r="I6" s="328"/>
      <c r="J6" s="328"/>
      <c r="K6" s="328"/>
      <c r="L6" s="328"/>
      <c r="M6" s="328"/>
      <c r="N6" s="328"/>
      <c r="O6" s="341"/>
      <c r="P6" s="341"/>
      <c r="Q6" s="341"/>
      <c r="R6" s="341"/>
      <c r="S6" s="341"/>
      <c r="T6" s="341"/>
      <c r="U6" s="341"/>
      <c r="V6" s="341"/>
      <c r="W6" s="341"/>
      <c r="X6" s="341"/>
      <c r="Y6" s="341"/>
      <c r="Z6" s="341"/>
      <c r="AA6" s="341"/>
      <c r="AB6" s="341"/>
      <c r="AC6" s="341"/>
      <c r="AD6" s="341"/>
      <c r="AE6" s="341"/>
      <c r="AF6" s="341"/>
      <c r="AG6" s="341"/>
    </row>
    <row r="7" spans="1:33" s="283" customFormat="1" ht="12.75" customHeight="1" thickTop="1">
      <c r="A7" s="353"/>
      <c r="B7" s="327"/>
      <c r="C7" s="648" t="str">
        <f>IF('Język - Language'!$B$30="Polski","KATEGORIE","CATEGORIES")</f>
        <v>KATEGORIE</v>
      </c>
      <c r="D7" s="648" t="str">
        <f>IF('Język - Language'!$B$30="Polski","MIEJSCE EMISJI","PLACE OF EMISSION")</f>
        <v>MIEJSCE EMISJI</v>
      </c>
      <c r="E7" s="648"/>
      <c r="F7" s="918" t="s">
        <v>97</v>
      </c>
      <c r="G7" s="772"/>
      <c r="H7" s="772"/>
      <c r="I7" s="772"/>
      <c r="J7" s="772"/>
      <c r="K7" s="332"/>
      <c r="L7" s="332"/>
      <c r="M7" s="332"/>
      <c r="N7" s="333"/>
      <c r="O7" s="341"/>
      <c r="P7" s="341"/>
      <c r="Q7" s="341"/>
      <c r="R7" s="353"/>
      <c r="S7" s="353"/>
      <c r="T7" s="353"/>
      <c r="U7" s="353"/>
      <c r="V7" s="353"/>
      <c r="W7" s="353"/>
      <c r="X7" s="353"/>
      <c r="Y7" s="353"/>
      <c r="Z7" s="353"/>
      <c r="AA7" s="353"/>
      <c r="AB7" s="353"/>
      <c r="AC7" s="353"/>
      <c r="AD7" s="353"/>
      <c r="AE7" s="353"/>
      <c r="AF7" s="353"/>
      <c r="AG7" s="353"/>
    </row>
    <row r="8" spans="1:33" s="283" customFormat="1" ht="12.75" customHeight="1">
      <c r="A8" s="341"/>
      <c r="B8" s="327"/>
      <c r="C8" s="648"/>
      <c r="D8" s="648"/>
      <c r="E8" s="648"/>
      <c r="F8" s="919"/>
      <c r="G8" s="892" t="str">
        <f>IF('Język - Language'!$B$30="Polski","HALFPAGE","HALFPAGE")</f>
        <v>HALFPAGE</v>
      </c>
      <c r="H8" s="772"/>
      <c r="I8" s="772"/>
      <c r="J8" s="772"/>
      <c r="K8" s="772" t="str">
        <f>IF('Język - Language'!$B$30="Polski","CONTENT BOX 970x200","CONTENT BOX 970x200")</f>
        <v>CONTENT BOX 970x200</v>
      </c>
      <c r="L8" s="772"/>
      <c r="M8" s="772"/>
      <c r="N8" s="886"/>
      <c r="O8" s="341"/>
      <c r="P8" s="341"/>
      <c r="Q8" s="341"/>
      <c r="R8" s="353"/>
      <c r="S8" s="353"/>
      <c r="T8" s="353"/>
      <c r="U8" s="353"/>
      <c r="V8" s="353"/>
      <c r="W8" s="353"/>
      <c r="X8" s="353"/>
      <c r="Y8" s="353"/>
      <c r="Z8" s="353"/>
      <c r="AA8" s="353"/>
      <c r="AB8" s="353"/>
      <c r="AC8" s="353"/>
      <c r="AD8" s="353"/>
      <c r="AE8" s="353"/>
      <c r="AF8" s="353"/>
      <c r="AG8" s="353"/>
    </row>
    <row r="9" spans="1:33" s="283" customFormat="1" ht="25.5" customHeight="1">
      <c r="A9" s="353"/>
      <c r="B9" s="327"/>
      <c r="C9" s="648"/>
      <c r="D9" s="648"/>
      <c r="E9" s="648"/>
      <c r="F9" s="919"/>
      <c r="G9" s="892" t="str">
        <f>IF('Język - Language'!$B$30="Polski","rozliczenie za widzialne odsłony wg standardu IAB¹","settlement for visible ad views according to the IAB standard*")</f>
        <v>rozliczenie za widzialne odsłony wg standardu IAB¹</v>
      </c>
      <c r="H9" s="772"/>
      <c r="I9" s="772"/>
      <c r="J9" s="772"/>
      <c r="K9" s="772"/>
      <c r="L9" s="772"/>
      <c r="M9" s="772"/>
      <c r="N9" s="886"/>
      <c r="O9" s="341"/>
      <c r="P9" s="341"/>
      <c r="Q9" s="353"/>
      <c r="R9" s="353"/>
      <c r="S9" s="353"/>
      <c r="T9" s="353"/>
      <c r="U9" s="353"/>
      <c r="V9" s="353"/>
      <c r="W9" s="353"/>
      <c r="X9" s="353"/>
      <c r="Y9" s="353"/>
      <c r="Z9" s="353"/>
      <c r="AA9" s="353"/>
      <c r="AB9" s="353"/>
      <c r="AC9" s="353"/>
      <c r="AD9" s="353"/>
      <c r="AE9" s="353"/>
      <c r="AF9" s="353"/>
      <c r="AG9" s="353"/>
    </row>
    <row r="10" spans="1:33" s="283" customFormat="1" ht="12.75" customHeight="1">
      <c r="A10" s="353"/>
      <c r="B10" s="327"/>
      <c r="C10" s="903"/>
      <c r="D10" s="903"/>
      <c r="E10" s="903"/>
      <c r="F10" s="920"/>
      <c r="G10" s="892" t="str">
        <f>IF('Język - Language'!$B$30="Polski","STAT. WEW.","INT. STAT.")</f>
        <v>STAT. WEW.</v>
      </c>
      <c r="H10" s="772"/>
      <c r="I10" s="911" t="str">
        <f>IF('Język - Language'!$B$30="Polski","STAT. ZEW.","EXT. STAT.")</f>
        <v>STAT. ZEW.</v>
      </c>
      <c r="J10" s="911"/>
      <c r="K10" s="772" t="str">
        <f>IF('Język - Language'!$B$30="Polski","STAT. WEW.","INT. STAT.")</f>
        <v>STAT. WEW.</v>
      </c>
      <c r="L10" s="772"/>
      <c r="M10" s="911" t="str">
        <f>IF('Język - Language'!$B$30="Polski","STAT. ZEW.","EXT. STAT.")</f>
        <v>STAT. ZEW.</v>
      </c>
      <c r="N10" s="912"/>
      <c r="O10" s="341"/>
      <c r="P10" s="341"/>
      <c r="Q10" s="341"/>
      <c r="R10" s="353"/>
      <c r="S10" s="353"/>
      <c r="T10" s="353"/>
      <c r="U10" s="353"/>
      <c r="V10" s="353"/>
      <c r="W10" s="353"/>
      <c r="X10" s="353"/>
      <c r="Y10" s="353"/>
      <c r="Z10" s="353"/>
      <c r="AA10" s="353"/>
      <c r="AB10" s="353"/>
      <c r="AC10" s="353"/>
      <c r="AD10" s="353"/>
      <c r="AE10" s="353"/>
      <c r="AF10" s="353"/>
      <c r="AG10" s="353"/>
    </row>
    <row r="11" spans="1:33" s="283" customFormat="1" ht="12.75" customHeight="1">
      <c r="A11" s="353"/>
      <c r="B11" s="928" t="s">
        <v>98</v>
      </c>
      <c r="C11" s="909" t="s">
        <v>53</v>
      </c>
      <c r="D11" s="883" t="s">
        <v>99</v>
      </c>
      <c r="E11" s="883"/>
      <c r="F11" s="330">
        <v>2000000</v>
      </c>
      <c r="G11" s="906">
        <v>160000</v>
      </c>
      <c r="H11" s="907"/>
      <c r="I11" s="913">
        <v>184000</v>
      </c>
      <c r="J11" s="914"/>
      <c r="K11" s="906" t="s">
        <v>94</v>
      </c>
      <c r="L11" s="907"/>
      <c r="M11" s="913" t="s">
        <v>94</v>
      </c>
      <c r="N11" s="921"/>
      <c r="O11" s="341"/>
      <c r="P11" s="341"/>
      <c r="Q11" s="341"/>
      <c r="R11" s="353"/>
      <c r="S11" s="353"/>
      <c r="T11" s="353"/>
      <c r="U11" s="353"/>
      <c r="V11" s="353"/>
      <c r="W11" s="353"/>
      <c r="X11" s="353"/>
      <c r="Y11" s="353"/>
      <c r="Z11" s="353"/>
      <c r="AA11" s="353"/>
      <c r="AB11" s="353"/>
      <c r="AC11" s="353"/>
      <c r="AD11" s="353"/>
      <c r="AE11" s="353"/>
      <c r="AF11" s="353"/>
      <c r="AG11" s="353"/>
    </row>
    <row r="12" spans="1:33" s="283" customFormat="1" ht="12.75" customHeight="1">
      <c r="A12" s="353"/>
      <c r="B12" s="928"/>
      <c r="C12" s="648"/>
      <c r="D12" s="883" t="s">
        <v>100</v>
      </c>
      <c r="E12" s="883"/>
      <c r="F12" s="330">
        <v>1400000</v>
      </c>
      <c r="G12" s="906">
        <v>112000</v>
      </c>
      <c r="H12" s="907"/>
      <c r="I12" s="913">
        <v>129000</v>
      </c>
      <c r="J12" s="914"/>
      <c r="K12" s="906"/>
      <c r="L12" s="907"/>
      <c r="M12" s="913"/>
      <c r="N12" s="921"/>
      <c r="O12" s="341"/>
      <c r="P12" s="341"/>
      <c r="Q12" s="341"/>
      <c r="R12" s="353"/>
      <c r="S12" s="353"/>
      <c r="T12" s="353"/>
      <c r="U12" s="353"/>
      <c r="V12" s="353"/>
      <c r="W12" s="353"/>
      <c r="X12" s="353"/>
      <c r="Y12" s="353"/>
      <c r="Z12" s="353"/>
      <c r="AA12" s="353"/>
      <c r="AB12" s="353"/>
      <c r="AC12" s="353"/>
      <c r="AD12" s="353"/>
      <c r="AE12" s="353"/>
      <c r="AF12" s="353"/>
      <c r="AG12" s="353"/>
    </row>
    <row r="13" spans="1:33" s="283" customFormat="1" ht="12.75" customHeight="1">
      <c r="A13" s="353"/>
      <c r="B13" s="928"/>
      <c r="C13" s="648"/>
      <c r="D13" s="883" t="s">
        <v>101</v>
      </c>
      <c r="E13" s="883"/>
      <c r="F13" s="330">
        <v>1200000</v>
      </c>
      <c r="G13" s="906">
        <v>96000</v>
      </c>
      <c r="H13" s="907"/>
      <c r="I13" s="913">
        <v>110000</v>
      </c>
      <c r="J13" s="914"/>
      <c r="K13" s="906"/>
      <c r="L13" s="907"/>
      <c r="M13" s="913"/>
      <c r="N13" s="921"/>
      <c r="O13" s="341"/>
      <c r="P13" s="341"/>
      <c r="Q13" s="341"/>
      <c r="R13" s="353"/>
      <c r="S13" s="353"/>
      <c r="T13" s="353"/>
      <c r="U13" s="353"/>
      <c r="V13" s="353"/>
      <c r="W13" s="353"/>
      <c r="X13" s="353"/>
      <c r="Y13" s="353"/>
      <c r="Z13" s="353"/>
      <c r="AA13" s="353"/>
      <c r="AB13" s="353"/>
      <c r="AC13" s="353"/>
      <c r="AD13" s="353"/>
      <c r="AE13" s="353"/>
      <c r="AF13" s="353"/>
      <c r="AG13" s="353"/>
    </row>
    <row r="14" spans="1:33" s="283" customFormat="1" ht="12.75" customHeight="1">
      <c r="A14" s="353"/>
      <c r="B14" s="928"/>
      <c r="C14" s="648"/>
      <c r="D14" s="883" t="s">
        <v>102</v>
      </c>
      <c r="E14" s="883"/>
      <c r="F14" s="330">
        <v>1000000</v>
      </c>
      <c r="G14" s="906">
        <v>80000</v>
      </c>
      <c r="H14" s="907"/>
      <c r="I14" s="913">
        <v>92000</v>
      </c>
      <c r="J14" s="914"/>
      <c r="K14" s="906"/>
      <c r="L14" s="907"/>
      <c r="M14" s="913"/>
      <c r="N14" s="921"/>
      <c r="O14" s="341"/>
      <c r="P14" s="341"/>
      <c r="Q14" s="341"/>
      <c r="R14" s="353"/>
      <c r="S14" s="353"/>
      <c r="T14" s="353"/>
      <c r="U14" s="353"/>
      <c r="V14" s="353"/>
      <c r="W14" s="353"/>
      <c r="X14" s="353"/>
      <c r="Y14" s="353"/>
      <c r="Z14" s="353"/>
      <c r="AA14" s="353"/>
      <c r="AB14" s="353"/>
      <c r="AC14" s="353"/>
      <c r="AD14" s="353"/>
      <c r="AE14" s="353"/>
      <c r="AF14" s="353"/>
      <c r="AG14" s="353"/>
    </row>
    <row r="15" spans="1:33" s="283" customFormat="1" ht="12.75" customHeight="1">
      <c r="A15" s="353"/>
      <c r="B15" s="928"/>
      <c r="C15" s="648"/>
      <c r="D15" s="883" t="s">
        <v>103</v>
      </c>
      <c r="E15" s="883"/>
      <c r="F15" s="330">
        <v>900000</v>
      </c>
      <c r="G15" s="906">
        <v>72000</v>
      </c>
      <c r="H15" s="907"/>
      <c r="I15" s="913">
        <v>83000</v>
      </c>
      <c r="J15" s="914"/>
      <c r="K15" s="906"/>
      <c r="L15" s="907"/>
      <c r="M15" s="913"/>
      <c r="N15" s="921"/>
      <c r="O15" s="341"/>
      <c r="P15" s="341"/>
      <c r="Q15" s="341"/>
      <c r="R15" s="353"/>
      <c r="S15" s="353"/>
      <c r="T15" s="353"/>
      <c r="U15" s="353"/>
      <c r="V15" s="353"/>
      <c r="W15" s="353"/>
      <c r="X15" s="353"/>
      <c r="Y15" s="353"/>
      <c r="Z15" s="353"/>
      <c r="AA15" s="353"/>
      <c r="AB15" s="353"/>
      <c r="AC15" s="353"/>
      <c r="AD15" s="353"/>
      <c r="AE15" s="353"/>
      <c r="AF15" s="353"/>
      <c r="AG15" s="353"/>
    </row>
    <row r="16" spans="1:33" s="283" customFormat="1" ht="12.75" customHeight="1">
      <c r="A16" s="353"/>
      <c r="B16" s="928"/>
      <c r="C16" s="648"/>
      <c r="D16" s="883" t="s">
        <v>104</v>
      </c>
      <c r="E16" s="883"/>
      <c r="F16" s="330">
        <v>700000</v>
      </c>
      <c r="G16" s="906">
        <v>56000</v>
      </c>
      <c r="H16" s="907"/>
      <c r="I16" s="913">
        <v>64000</v>
      </c>
      <c r="J16" s="914"/>
      <c r="K16" s="906"/>
      <c r="L16" s="907"/>
      <c r="M16" s="913"/>
      <c r="N16" s="921"/>
      <c r="O16" s="341"/>
      <c r="P16" s="341"/>
      <c r="Q16" s="341"/>
      <c r="R16" s="353"/>
      <c r="S16" s="353"/>
      <c r="T16" s="353"/>
      <c r="U16" s="353"/>
      <c r="V16" s="353"/>
      <c r="W16" s="353"/>
      <c r="X16" s="353"/>
      <c r="Y16" s="353"/>
      <c r="Z16" s="353"/>
      <c r="AA16" s="353"/>
      <c r="AB16" s="353"/>
      <c r="AC16" s="353"/>
      <c r="AD16" s="353"/>
      <c r="AE16" s="353"/>
      <c r="AF16" s="353"/>
      <c r="AG16" s="353"/>
    </row>
    <row r="17" spans="1:33" s="283" customFormat="1" ht="12.75" customHeight="1">
      <c r="A17" s="353"/>
      <c r="B17" s="928"/>
      <c r="C17" s="648"/>
      <c r="D17" s="883" t="s">
        <v>105</v>
      </c>
      <c r="E17" s="883"/>
      <c r="F17" s="330">
        <v>600000</v>
      </c>
      <c r="G17" s="906">
        <v>48000</v>
      </c>
      <c r="H17" s="907"/>
      <c r="I17" s="913">
        <v>55000</v>
      </c>
      <c r="J17" s="914"/>
      <c r="K17" s="906"/>
      <c r="L17" s="907"/>
      <c r="M17" s="913"/>
      <c r="N17" s="921"/>
      <c r="O17" s="341"/>
      <c r="P17" s="341"/>
      <c r="Q17" s="341"/>
      <c r="R17" s="353"/>
      <c r="S17" s="353"/>
      <c r="T17" s="353"/>
      <c r="U17" s="353"/>
      <c r="V17" s="353"/>
      <c r="W17" s="353"/>
      <c r="X17" s="353"/>
      <c r="Y17" s="353"/>
      <c r="Z17" s="353"/>
      <c r="AA17" s="353"/>
      <c r="AB17" s="353"/>
      <c r="AC17" s="353"/>
      <c r="AD17" s="353"/>
      <c r="AE17" s="353"/>
      <c r="AF17" s="353"/>
      <c r="AG17" s="353"/>
    </row>
    <row r="18" spans="1:33" s="283" customFormat="1" ht="12.75" customHeight="1">
      <c r="A18" s="353"/>
      <c r="B18" s="928"/>
      <c r="C18" s="648"/>
      <c r="D18" s="557" t="s">
        <v>106</v>
      </c>
      <c r="E18" s="557"/>
      <c r="F18" s="334">
        <v>500000</v>
      </c>
      <c r="G18" s="804">
        <v>40000</v>
      </c>
      <c r="H18" s="930"/>
      <c r="I18" s="922">
        <v>46000</v>
      </c>
      <c r="J18" s="931"/>
      <c r="K18" s="804"/>
      <c r="L18" s="930"/>
      <c r="M18" s="922"/>
      <c r="N18" s="923"/>
      <c r="O18" s="341"/>
      <c r="P18" s="341"/>
      <c r="Q18" s="341"/>
      <c r="R18" s="353"/>
      <c r="S18" s="353"/>
      <c r="T18" s="353"/>
      <c r="U18" s="353"/>
      <c r="V18" s="353"/>
      <c r="W18" s="353"/>
      <c r="X18" s="353"/>
      <c r="Y18" s="353"/>
      <c r="Z18" s="353"/>
      <c r="AA18" s="353"/>
      <c r="AB18" s="353"/>
      <c r="AC18" s="353"/>
      <c r="AD18" s="353"/>
      <c r="AE18" s="353"/>
      <c r="AF18" s="353"/>
      <c r="AG18" s="353"/>
    </row>
    <row r="19" spans="1:33" s="283" customFormat="1" ht="12.75" customHeight="1" thickBot="1">
      <c r="A19" s="353"/>
      <c r="B19" s="928"/>
      <c r="C19" s="910"/>
      <c r="D19" s="929" t="s">
        <v>107</v>
      </c>
      <c r="E19" s="929"/>
      <c r="F19" s="331">
        <v>1000000</v>
      </c>
      <c r="G19" s="933">
        <v>65000</v>
      </c>
      <c r="H19" s="934"/>
      <c r="I19" s="884">
        <v>75000</v>
      </c>
      <c r="J19" s="932"/>
      <c r="K19" s="933">
        <v>80000</v>
      </c>
      <c r="L19" s="934"/>
      <c r="M19" s="884">
        <v>92000</v>
      </c>
      <c r="N19" s="885"/>
      <c r="O19" s="341"/>
      <c r="P19" s="341"/>
      <c r="Q19" s="341"/>
      <c r="R19" s="353"/>
      <c r="S19" s="353"/>
      <c r="T19" s="353"/>
      <c r="U19" s="353"/>
      <c r="V19" s="353"/>
      <c r="W19" s="353"/>
      <c r="X19" s="353"/>
      <c r="Y19" s="353"/>
      <c r="Z19" s="353"/>
      <c r="AA19" s="353"/>
      <c r="AB19" s="353"/>
      <c r="AC19" s="353"/>
      <c r="AD19" s="353"/>
      <c r="AE19" s="353"/>
      <c r="AF19" s="353"/>
      <c r="AG19" s="353"/>
    </row>
    <row r="20" spans="1:33" s="283" customFormat="1" ht="12.75" customHeight="1" thickTop="1">
      <c r="A20" s="353"/>
      <c r="B20"/>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row>
    <row r="21" spans="1:33" ht="12.75" customHeight="1">
      <c r="A21" s="353"/>
      <c r="B21" s="341"/>
      <c r="C21" s="908" t="str">
        <f>IF('Język - Language'!$B$30="Polski","KATEGORIE","CATEGORIES")</f>
        <v>KATEGORIE</v>
      </c>
      <c r="D21" s="908" t="str">
        <f>IF('Język - Language'!$B$30="Polski","MIEJSCE EMISJI","PLACE OF EMISSION")</f>
        <v>MIEJSCE EMISJI</v>
      </c>
      <c r="E21" s="908"/>
      <c r="F21" s="926"/>
      <c r="G21" s="925" t="str">
        <f>IF('Język - Language'!$B$30="Polski","RECTANGLE,","RECTANGLE,")</f>
        <v>RECTANGLE,</v>
      </c>
      <c r="H21" s="874"/>
      <c r="I21" s="874" t="str">
        <f>IF('Język - Language'!$B$30="Polski","DOUBLE BILLBOARD,","DOUBLE BILLBOARD,")</f>
        <v>DOUBLE BILLBOARD,</v>
      </c>
      <c r="J21" s="874"/>
      <c r="K21" s="874" t="str">
        <f>IF('Język - Language'!$B$30="Polski","TRIPLE BILLBOARD,","TRIPLE BILLBOARD,")</f>
        <v>TRIPLE BILLBOARD,</v>
      </c>
      <c r="L21" s="916"/>
      <c r="M21" s="915" t="str">
        <f>IF('Język - Language'!$B$30="Polski","SCREENING 200³","SCREENING 200³")</f>
        <v>SCREENING 200³</v>
      </c>
      <c r="N21" s="916"/>
      <c r="O21" s="899" t="s">
        <v>108</v>
      </c>
      <c r="P21" s="900"/>
      <c r="Q21" s="353"/>
      <c r="R21" s="353"/>
      <c r="S21" s="100"/>
      <c r="T21" s="100"/>
      <c r="U21" s="341"/>
      <c r="V21" s="341"/>
      <c r="W21" s="341"/>
      <c r="X21" s="353"/>
      <c r="Y21" s="353"/>
      <c r="Z21" s="353"/>
      <c r="AA21" s="353"/>
      <c r="AB21" s="353"/>
      <c r="AC21" s="353"/>
      <c r="AD21" s="353"/>
      <c r="AE21" s="353"/>
      <c r="AF21" s="353"/>
      <c r="AG21" s="353"/>
    </row>
    <row r="22" spans="1:33" s="155" customFormat="1" ht="12.75" customHeight="1">
      <c r="A22" s="353"/>
      <c r="B22" s="341"/>
      <c r="C22" s="648"/>
      <c r="D22" s="648"/>
      <c r="E22" s="648"/>
      <c r="F22" s="927"/>
      <c r="G22" s="892"/>
      <c r="H22" s="772"/>
      <c r="I22" s="772" t="str">
        <f>IF('Język - Language'!$B$30="Polski","FLOATING HALFPAGE","FLOATING HALFPATE")</f>
        <v>FLOATING HALFPAGE</v>
      </c>
      <c r="J22" s="772"/>
      <c r="K22" s="772"/>
      <c r="L22" s="779"/>
      <c r="M22" s="917"/>
      <c r="N22" s="779"/>
      <c r="O22" s="899"/>
      <c r="P22" s="900"/>
      <c r="Q22" s="353"/>
      <c r="R22" s="353"/>
      <c r="S22" s="100"/>
      <c r="T22" s="100"/>
      <c r="U22" s="341"/>
      <c r="V22" s="341"/>
      <c r="W22" s="341"/>
      <c r="X22" s="353"/>
      <c r="Y22" s="353"/>
      <c r="Z22" s="353"/>
      <c r="AA22" s="353"/>
      <c r="AB22" s="353"/>
      <c r="AC22" s="353"/>
      <c r="AD22" s="353"/>
      <c r="AE22" s="353"/>
      <c r="AF22" s="353"/>
      <c r="AG22" s="353"/>
    </row>
    <row r="23" spans="1:33" s="155" customFormat="1" ht="12.75" customHeight="1">
      <c r="A23" s="353"/>
      <c r="B23" s="341"/>
      <c r="C23" s="648"/>
      <c r="D23" s="648"/>
      <c r="E23" s="648"/>
      <c r="F23" s="927"/>
      <c r="G23" s="924" t="str">
        <f>IF('Język - Language'!$B$30="Polski","MOBILE RECTANGLE","MOBILE RECTANGLE")</f>
        <v>MOBILE RECTANGLE</v>
      </c>
      <c r="H23" s="911"/>
      <c r="I23" s="772" t="str">
        <f>IF('Język - Language'!$B$30="Polski","HALFPAGE,","HALFPAGE,")</f>
        <v>HALFPAGE,</v>
      </c>
      <c r="J23" s="772"/>
      <c r="K23" s="772" t="str">
        <f>IF('Język - Language'!$B$30="Polski","WIDEBOARD","WIDEBOARD")</f>
        <v>WIDEBOARD</v>
      </c>
      <c r="L23" s="779"/>
      <c r="M23" s="904" t="str">
        <f>IF('Język - Language'!$B$30="Polski","MOBILE SCREENING³","MOBILE SCREENING³")</f>
        <v>MOBILE SCREENING³</v>
      </c>
      <c r="N23" s="905"/>
      <c r="O23" s="901" t="s">
        <v>109</v>
      </c>
      <c r="P23" s="902"/>
      <c r="Q23" s="353"/>
      <c r="R23" s="353"/>
      <c r="S23" s="100"/>
      <c r="T23" s="100"/>
      <c r="U23" s="341"/>
      <c r="V23" s="341"/>
      <c r="W23" s="341"/>
      <c r="X23" s="353"/>
      <c r="Y23" s="353"/>
      <c r="Z23" s="353"/>
      <c r="AA23" s="353"/>
      <c r="AB23" s="353"/>
      <c r="AC23" s="353"/>
      <c r="AD23" s="353"/>
      <c r="AE23" s="353"/>
      <c r="AF23" s="353"/>
      <c r="AG23" s="353"/>
    </row>
    <row r="24" spans="1:33" s="155" customFormat="1" ht="12.75" customHeight="1">
      <c r="A24" s="353"/>
      <c r="B24" s="341"/>
      <c r="C24" s="648"/>
      <c r="D24" s="648"/>
      <c r="E24" s="648"/>
      <c r="F24" s="927"/>
      <c r="G24" s="924"/>
      <c r="H24" s="911"/>
      <c r="I24" s="911" t="str">
        <f>IF('Język - Language'!$B$30="Polski","MOBILE BANNER GÓRNY","MOBILE UPPER BANNER")</f>
        <v>MOBILE BANNER GÓRNY</v>
      </c>
      <c r="J24" s="911"/>
      <c r="K24" s="772"/>
      <c r="L24" s="779"/>
      <c r="M24" s="904"/>
      <c r="N24" s="905"/>
      <c r="O24" s="901"/>
      <c r="P24" s="902"/>
      <c r="Q24" s="353"/>
      <c r="R24" s="353"/>
      <c r="S24" s="100"/>
      <c r="T24" s="100"/>
      <c r="U24" s="341"/>
      <c r="V24" s="341"/>
      <c r="W24" s="341"/>
      <c r="X24" s="353"/>
      <c r="Y24" s="353"/>
      <c r="Z24" s="353"/>
      <c r="AA24" s="353"/>
      <c r="AB24" s="353"/>
      <c r="AC24" s="353"/>
      <c r="AD24" s="353"/>
      <c r="AE24" s="353"/>
      <c r="AF24" s="353"/>
      <c r="AG24" s="353"/>
    </row>
    <row r="25" spans="1:33" s="118" customFormat="1" ht="25.5" customHeight="1">
      <c r="A25" s="353"/>
      <c r="B25" s="341"/>
      <c r="C25" s="648"/>
      <c r="D25" s="648"/>
      <c r="E25" s="648"/>
      <c r="F25" s="927"/>
      <c r="G25" s="892" t="str">
        <f>IF('Język - Language'!$B$30="Polski","rozliczenie za widzialne odsłony wg standardu IAB¹","settlement for visible ad views according to the IAB standard*")</f>
        <v>rozliczenie za widzialne odsłony wg standardu IAB¹</v>
      </c>
      <c r="H25" s="772"/>
      <c r="I25" s="772"/>
      <c r="J25" s="772"/>
      <c r="K25" s="772"/>
      <c r="L25" s="772"/>
      <c r="M25" s="772"/>
      <c r="N25" s="772"/>
      <c r="O25" s="772"/>
      <c r="P25" s="779"/>
      <c r="Q25" s="353"/>
      <c r="R25" s="353"/>
      <c r="S25" s="100"/>
      <c r="T25" s="100"/>
      <c r="U25" s="341"/>
      <c r="V25" s="341"/>
      <c r="W25" s="341"/>
      <c r="X25" s="353"/>
      <c r="Y25" s="353"/>
      <c r="Z25" s="353"/>
      <c r="AA25" s="353"/>
      <c r="AB25" s="353"/>
      <c r="AC25" s="353"/>
      <c r="AD25" s="353"/>
      <c r="AE25" s="353"/>
      <c r="AF25" s="353"/>
      <c r="AG25" s="353"/>
    </row>
    <row r="26" spans="1:33" s="104" customFormat="1" ht="12.75" customHeight="1">
      <c r="A26" s="353"/>
      <c r="B26" s="341"/>
      <c r="C26" s="903"/>
      <c r="D26" s="648"/>
      <c r="E26" s="648"/>
      <c r="F26" s="927"/>
      <c r="G26" s="470" t="str">
        <f>IF('Język - Language'!$B$30="Polski","STAT. WEW.","INT. STAT.")</f>
        <v>STAT. WEW.</v>
      </c>
      <c r="H26" s="349" t="str">
        <f>IF('Język - Language'!$B$30="Polski","STAT. ZEW.","EXT. STAT.")</f>
        <v>STAT. ZEW.</v>
      </c>
      <c r="I26" s="470" t="str">
        <f>IF('Język - Language'!$B$30="Polski","STAT. WEW.","INT. STAT.")</f>
        <v>STAT. WEW.</v>
      </c>
      <c r="J26" s="349" t="str">
        <f>IF('Język - Language'!$B$30="Polski","STAT. ZEW.","EXT. STAT.")</f>
        <v>STAT. ZEW.</v>
      </c>
      <c r="K26" s="470" t="str">
        <f>IF('Język - Language'!$B$30="Polski","STAT. WEW.","INT. STAT.")</f>
        <v>STAT. WEW.</v>
      </c>
      <c r="L26" s="349" t="str">
        <f>IF('Język - Language'!$B$30="Polski","STAT. ZEW.","EXT. STAT.")</f>
        <v>STAT. ZEW.</v>
      </c>
      <c r="M26" s="470" t="str">
        <f>IF('Język - Language'!$B$30="Polski","STAT. WEW.","INT. STAT.")</f>
        <v>STAT. WEW.</v>
      </c>
      <c r="N26" s="360" t="str">
        <f>IF('Język - Language'!$B$30="Polski","STAT. ZEW.","EXT. STAT.")</f>
        <v>STAT. ZEW.</v>
      </c>
      <c r="O26" s="470" t="str">
        <f>IF('Język - Language'!$B$30="Polski","STAT. WEW.","INT. STAT.")</f>
        <v>STAT. WEW.</v>
      </c>
      <c r="P26" s="482" t="str">
        <f>IF('Język - Language'!$B$30="Polski","STAT. ZEW.","EXT. STAT.")</f>
        <v>STAT. ZEW.</v>
      </c>
      <c r="Q26" s="353"/>
      <c r="R26" s="353"/>
      <c r="S26" s="100"/>
      <c r="T26" s="100"/>
      <c r="U26" s="341"/>
      <c r="V26" s="341"/>
      <c r="W26" s="341"/>
      <c r="X26" s="353"/>
      <c r="Y26" s="353"/>
      <c r="Z26" s="353"/>
      <c r="AA26" s="353"/>
      <c r="AB26" s="353"/>
      <c r="AC26" s="353"/>
      <c r="AD26" s="353"/>
      <c r="AE26" s="353"/>
      <c r="AF26" s="353"/>
      <c r="AG26" s="353"/>
    </row>
    <row r="27" spans="1:33" s="283" customFormat="1" ht="36" customHeight="1">
      <c r="A27" s="353"/>
      <c r="B27" s="897" t="s">
        <v>110</v>
      </c>
      <c r="C27" s="342" t="str">
        <f>IF('Język - Language'!$B$30="Polski","WPM ZASIĘG","WPM REACH")</f>
        <v>WPM ZASIĘG</v>
      </c>
      <c r="D27" s="557" t="str">
        <f>IF('Język - Language'!$B$30="Polski","WPM Zasięg (bez stron głównych o2 i WP oraz bez serwisów pocztowych)","WPM Reach (without o2 HP, WP HP and e-mail services)")</f>
        <v>WPM Zasięg (bez stron głównych o2 i WP oraz bez serwisów pocztowych)</v>
      </c>
      <c r="E27" s="557"/>
      <c r="F27" s="558"/>
      <c r="G27" s="343">
        <f>18*1.5</f>
        <v>27</v>
      </c>
      <c r="H27" s="473">
        <v>32.4</v>
      </c>
      <c r="I27" s="258">
        <f>G27*150%</f>
        <v>40.5</v>
      </c>
      <c r="J27" s="396">
        <v>48.6</v>
      </c>
      <c r="K27" s="258">
        <f>G27*200%</f>
        <v>54</v>
      </c>
      <c r="L27" s="473">
        <v>64.8</v>
      </c>
      <c r="M27" s="318" t="s">
        <v>94</v>
      </c>
      <c r="N27" s="398" t="s">
        <v>94</v>
      </c>
      <c r="O27" s="318" t="s">
        <v>94</v>
      </c>
      <c r="P27" s="398" t="s">
        <v>94</v>
      </c>
      <c r="Q27" s="353"/>
      <c r="R27" s="353"/>
      <c r="S27" s="98"/>
      <c r="T27" s="98"/>
      <c r="U27" s="341"/>
      <c r="V27" s="341"/>
      <c r="W27" s="341"/>
      <c r="X27" s="353"/>
      <c r="Y27" s="353"/>
      <c r="Z27" s="353"/>
      <c r="AA27" s="353"/>
      <c r="AB27" s="353"/>
      <c r="AC27" s="353"/>
      <c r="AD27" s="353"/>
      <c r="AE27" s="353"/>
      <c r="AF27" s="353"/>
      <c r="AG27" s="353"/>
    </row>
    <row r="28" spans="1:33" s="283" customFormat="1" ht="36" customHeight="1">
      <c r="A28" s="353"/>
      <c r="B28" s="897"/>
      <c r="C28" s="387" t="s">
        <v>111</v>
      </c>
      <c r="D28" s="893" t="str">
        <f>IF('Język - Language'!$B$30="Polski","WP SG, o2 SG²","WP HP, o2 HP²")</f>
        <v>WP SG, o2 SG²</v>
      </c>
      <c r="E28" s="893"/>
      <c r="F28" s="894"/>
      <c r="G28" s="344" t="s">
        <v>94</v>
      </c>
      <c r="H28" s="395" t="s">
        <v>94</v>
      </c>
      <c r="I28" s="326">
        <v>80</v>
      </c>
      <c r="J28" s="395">
        <v>96</v>
      </c>
      <c r="K28" s="326">
        <v>105</v>
      </c>
      <c r="L28" s="397">
        <v>126</v>
      </c>
      <c r="M28" s="345">
        <v>125</v>
      </c>
      <c r="N28" s="399">
        <v>150</v>
      </c>
      <c r="O28" s="345" t="s">
        <v>94</v>
      </c>
      <c r="P28" s="399" t="s">
        <v>94</v>
      </c>
      <c r="Q28" s="353"/>
      <c r="R28" s="353"/>
      <c r="S28" s="98"/>
      <c r="T28" s="98"/>
      <c r="U28" s="341"/>
      <c r="V28" s="341"/>
      <c r="W28" s="341"/>
      <c r="X28" s="353"/>
      <c r="Y28" s="353"/>
      <c r="Z28" s="353"/>
      <c r="AA28" s="353"/>
      <c r="AB28" s="353"/>
      <c r="AC28" s="353"/>
      <c r="AD28" s="353"/>
      <c r="AE28" s="353"/>
      <c r="AF28" s="353"/>
      <c r="AG28" s="353"/>
    </row>
    <row r="29" spans="1:33" s="353" customFormat="1" ht="36" customHeight="1">
      <c r="B29" s="897"/>
      <c r="C29" s="388" t="s">
        <v>112</v>
      </c>
      <c r="D29" s="557"/>
      <c r="E29" s="557"/>
      <c r="F29" s="558"/>
      <c r="G29" s="889" t="s">
        <v>113</v>
      </c>
      <c r="H29" s="890"/>
      <c r="I29" s="890"/>
      <c r="J29" s="890"/>
      <c r="K29" s="890"/>
      <c r="L29" s="890"/>
      <c r="M29" s="890"/>
      <c r="N29" s="890"/>
      <c r="O29" s="890"/>
      <c r="P29" s="891"/>
      <c r="S29" s="98"/>
      <c r="T29" s="98"/>
      <c r="U29" s="341"/>
      <c r="V29" s="341"/>
      <c r="W29" s="341"/>
    </row>
    <row r="30" spans="1:33" s="283" customFormat="1" ht="36" customHeight="1">
      <c r="A30" s="353"/>
      <c r="B30" s="897"/>
      <c r="C30" s="493" t="str">
        <f>IF('Język - Language'!$B$30="Polski","BIZNES","BUSINESS")</f>
        <v>BIZNES</v>
      </c>
      <c r="D30" s="557" t="str">
        <f>IF('Język - Language'!$B$30="Polski","WP Finanse, Portal Money.pl","WP Finanse, Money.pl + sites in the domain money.pl")</f>
        <v>WP Finanse, Portal Money.pl</v>
      </c>
      <c r="E30" s="557"/>
      <c r="F30" s="558"/>
      <c r="G30" s="343">
        <v>90</v>
      </c>
      <c r="H30" s="474">
        <v>108</v>
      </c>
      <c r="I30" s="343">
        <v>135</v>
      </c>
      <c r="J30" s="474">
        <v>162</v>
      </c>
      <c r="K30" s="343">
        <v>180</v>
      </c>
      <c r="L30" s="474">
        <v>216</v>
      </c>
      <c r="M30" s="346">
        <v>210</v>
      </c>
      <c r="N30" s="403">
        <v>252</v>
      </c>
      <c r="O30" s="346">
        <v>235</v>
      </c>
      <c r="P30" s="403">
        <v>282</v>
      </c>
      <c r="Q30" s="353"/>
      <c r="R30" s="353"/>
      <c r="S30" s="98"/>
      <c r="T30" s="98"/>
      <c r="U30" s="341"/>
      <c r="V30" s="341"/>
      <c r="W30" s="341"/>
      <c r="X30" s="353"/>
      <c r="Y30" s="353"/>
      <c r="Z30" s="353"/>
      <c r="AA30" s="353"/>
      <c r="AB30" s="353"/>
      <c r="AC30" s="353"/>
      <c r="AD30" s="353"/>
      <c r="AE30" s="353"/>
      <c r="AF30" s="353"/>
      <c r="AG30" s="353"/>
    </row>
    <row r="31" spans="1:33" s="283" customFormat="1" ht="36" customHeight="1">
      <c r="A31" s="353"/>
      <c r="B31" s="897"/>
      <c r="C31" s="342" t="str">
        <f>IF('Język - Language'!$B$30="Polski","INFO I SPORT","INFO AND SPORT")</f>
        <v>INFO I SPORT</v>
      </c>
      <c r="D31" s="893" t="str">
        <f>IF('Język - Language'!$B$30="Polski","WP Wiadomości, WP Opinie, WP Pogoda, WP SportoweFakty, Wawalove","WP Wiadomości, WP Opinie, WP Pogoda, WP Sportowefakty, Wawalove")</f>
        <v>WP Wiadomości, WP Opinie, WP Pogoda, WP SportoweFakty, Wawalove</v>
      </c>
      <c r="E31" s="893"/>
      <c r="F31" s="894"/>
      <c r="G31" s="347">
        <v>55</v>
      </c>
      <c r="H31" s="400">
        <v>65</v>
      </c>
      <c r="I31" s="344">
        <v>80</v>
      </c>
      <c r="J31" s="400">
        <v>96</v>
      </c>
      <c r="K31" s="344">
        <v>105</v>
      </c>
      <c r="L31" s="400">
        <v>126</v>
      </c>
      <c r="M31" s="345">
        <v>125</v>
      </c>
      <c r="N31" s="399">
        <v>150</v>
      </c>
      <c r="O31" s="345">
        <v>145</v>
      </c>
      <c r="P31" s="399">
        <v>175</v>
      </c>
      <c r="Q31" s="353"/>
      <c r="R31" s="353"/>
      <c r="S31" s="98"/>
      <c r="T31" s="98"/>
      <c r="U31" s="341"/>
      <c r="V31" s="341"/>
      <c r="W31" s="341"/>
      <c r="X31" s="353"/>
      <c r="Y31" s="353"/>
      <c r="Z31" s="353"/>
      <c r="AA31" s="353"/>
      <c r="AB31" s="353"/>
      <c r="AC31" s="353"/>
      <c r="AD31" s="353"/>
      <c r="AE31" s="353"/>
      <c r="AF31" s="353"/>
      <c r="AG31" s="353"/>
    </row>
    <row r="32" spans="1:33" ht="36" customHeight="1">
      <c r="A32" s="353"/>
      <c r="B32" s="897"/>
      <c r="C32" s="348" t="str">
        <f>IF('Język - Language'!$B$30="Polski","MOTORYZACJA","AUTOMOTIVE")</f>
        <v>MOTORYZACJA</v>
      </c>
      <c r="D32" s="557" t="str">
        <f>IF('Język - Language'!$B$30="Polski","WP Autokult, WP Moto","WP Autokult, WP Moto")</f>
        <v>WP Autokult, WP Moto</v>
      </c>
      <c r="E32" s="557"/>
      <c r="F32" s="558"/>
      <c r="G32" s="347">
        <v>45</v>
      </c>
      <c r="H32" s="400">
        <v>54</v>
      </c>
      <c r="I32" s="344">
        <v>68</v>
      </c>
      <c r="J32" s="400">
        <v>81</v>
      </c>
      <c r="K32" s="344">
        <v>90</v>
      </c>
      <c r="L32" s="400">
        <v>108</v>
      </c>
      <c r="M32" s="345">
        <v>106</v>
      </c>
      <c r="N32" s="399">
        <v>127</v>
      </c>
      <c r="O32" s="345">
        <v>120</v>
      </c>
      <c r="P32" s="399">
        <v>144</v>
      </c>
      <c r="Q32" s="353"/>
      <c r="R32" s="353"/>
      <c r="S32" s="100"/>
      <c r="T32" s="100"/>
      <c r="U32" s="341"/>
      <c r="V32" s="341"/>
      <c r="W32" s="341"/>
      <c r="X32" s="353"/>
      <c r="Y32" s="353"/>
      <c r="Z32" s="353"/>
      <c r="AA32" s="353"/>
      <c r="AB32" s="353"/>
      <c r="AC32" s="353"/>
      <c r="AD32" s="353"/>
      <c r="AE32" s="353"/>
      <c r="AF32" s="353"/>
      <c r="AG32" s="353"/>
    </row>
    <row r="33" spans="1:28" s="283" customFormat="1" ht="42" customHeight="1">
      <c r="A33" s="353"/>
      <c r="B33" s="897"/>
      <c r="C33" s="342" t="str">
        <f>IF('Język - Language'!$B$30="Polski","ROZRYWKA","FUN")</f>
        <v>ROZRYWKA</v>
      </c>
      <c r="D33" s="893" t="str">
        <f>IF('Język - Language'!$B$30="Polski","WP Film, WP Gwiazdy, WP Książki, WP Program TV, WP Teleshow, Pudelek, o2 serwisy, o2 warstwy","WP Film, WP Gwiazdy, WP Książki, WP Program TV, WP Teleshow, Pudelek, o2 pages, o2 layers")</f>
        <v>WP Film, WP Gwiazdy, WP Książki, WP Program TV, WP Teleshow, Pudelek, o2 serwisy, o2 warstwy</v>
      </c>
      <c r="E33" s="893"/>
      <c r="F33" s="894"/>
      <c r="G33" s="347">
        <v>30</v>
      </c>
      <c r="H33" s="400">
        <v>36</v>
      </c>
      <c r="I33" s="344">
        <v>45</v>
      </c>
      <c r="J33" s="400">
        <v>54</v>
      </c>
      <c r="K33" s="344">
        <v>60</v>
      </c>
      <c r="L33" s="400">
        <v>72</v>
      </c>
      <c r="M33" s="345">
        <v>70</v>
      </c>
      <c r="N33" s="399">
        <v>84</v>
      </c>
      <c r="O33" s="345">
        <v>78</v>
      </c>
      <c r="P33" s="399">
        <v>94</v>
      </c>
      <c r="Q33" s="353"/>
      <c r="R33" s="353"/>
      <c r="S33" s="98"/>
      <c r="T33" s="98"/>
      <c r="U33" s="341"/>
      <c r="V33" s="341"/>
      <c r="W33" s="341"/>
      <c r="X33" s="353"/>
      <c r="Y33" s="353"/>
      <c r="Z33" s="353"/>
      <c r="AA33" s="353"/>
      <c r="AB33" s="353"/>
    </row>
    <row r="34" spans="1:28" ht="36" customHeight="1">
      <c r="A34" s="353"/>
      <c r="B34" s="897"/>
      <c r="C34" s="342" t="str">
        <f>IF('Język - Language'!$B$30="Polski","STYL ŻYCIA","LIFESTYLE")</f>
        <v>STYL ŻYCIA</v>
      </c>
      <c r="D34" s="557" t="str">
        <f>IF('Język - Language'!$B$30="Polski","WP Facet, WP Kobieta, Kafeteria.pl, WP Kuchnia, WP Turystyka","WP Facet, WP Kobieta, Kafeteria.pl, WP Kuchnia, WP Turystyka")</f>
        <v>WP Facet, WP Kobieta, Kafeteria.pl, WP Kuchnia, WP Turystyka</v>
      </c>
      <c r="E34" s="557"/>
      <c r="F34" s="558"/>
      <c r="G34" s="347">
        <v>45</v>
      </c>
      <c r="H34" s="400">
        <v>54</v>
      </c>
      <c r="I34" s="344">
        <v>68</v>
      </c>
      <c r="J34" s="400">
        <v>81</v>
      </c>
      <c r="K34" s="344">
        <v>90</v>
      </c>
      <c r="L34" s="400">
        <v>108</v>
      </c>
      <c r="M34" s="345">
        <v>106</v>
      </c>
      <c r="N34" s="399">
        <v>127</v>
      </c>
      <c r="O34" s="345">
        <v>120</v>
      </c>
      <c r="P34" s="399">
        <v>144</v>
      </c>
      <c r="Q34" s="353"/>
      <c r="R34" s="353"/>
      <c r="S34" s="98"/>
      <c r="T34" s="98"/>
      <c r="U34" s="341"/>
      <c r="V34" s="341"/>
      <c r="W34" s="341"/>
      <c r="X34" s="353"/>
      <c r="Y34" s="353"/>
      <c r="Z34" s="353"/>
      <c r="AA34" s="353"/>
      <c r="AB34" s="353"/>
    </row>
    <row r="35" spans="1:28" s="90" customFormat="1" ht="36" customHeight="1">
      <c r="A35" s="353"/>
      <c r="B35" s="897"/>
      <c r="C35" s="348" t="str">
        <f>IF('Język - Language'!$B$30="Polski","TECHNOLOGIA","TECHNOLOGY")</f>
        <v>TECHNOLOGIA</v>
      </c>
      <c r="D35" s="557" t="str">
        <f>IF('Język - Language'!$B$30="Polski","WP Tech, WP Gry, WP Fotoblogia, WP Gadżetomania, WP Komórkomania, dobreprogramy.pl⁵","WP Tech, WP Gry, WP Fotoblogia, WP Gadżetomania, WP Komórkomania, dobreprogramy.pl⁵")</f>
        <v>WP Tech, WP Gry, WP Fotoblogia, WP Gadżetomania, WP Komórkomania, dobreprogramy.pl⁵</v>
      </c>
      <c r="E35" s="557"/>
      <c r="F35" s="558"/>
      <c r="G35" s="347">
        <v>45</v>
      </c>
      <c r="H35" s="400">
        <v>54</v>
      </c>
      <c r="I35" s="344">
        <v>68</v>
      </c>
      <c r="J35" s="400">
        <v>81</v>
      </c>
      <c r="K35" s="344">
        <v>90</v>
      </c>
      <c r="L35" s="400">
        <v>108</v>
      </c>
      <c r="M35" s="345">
        <v>106</v>
      </c>
      <c r="N35" s="399">
        <v>127</v>
      </c>
      <c r="O35" s="345">
        <v>120</v>
      </c>
      <c r="P35" s="399">
        <v>144</v>
      </c>
      <c r="Q35" s="353"/>
      <c r="R35" s="353"/>
      <c r="S35" s="98"/>
      <c r="T35" s="98"/>
      <c r="U35" s="341"/>
      <c r="V35" s="341"/>
      <c r="W35" s="341"/>
      <c r="X35" s="353"/>
      <c r="Y35" s="353"/>
      <c r="Z35" s="353"/>
      <c r="AA35" s="353"/>
      <c r="AB35" s="353"/>
    </row>
    <row r="36" spans="1:28" s="93" customFormat="1" ht="36" customHeight="1">
      <c r="A36" s="353"/>
      <c r="B36" s="897"/>
      <c r="C36" s="342" t="str">
        <f>IF('Język - Language'!$B$30="Polski","ZDROWIE I PARENTING","HEALTH AND PARENTING")</f>
        <v>ZDROWIE I PARENTING</v>
      </c>
      <c r="D36" s="887" t="str">
        <f>IF('Język - Language'!$B$30="Polski","WP abcZdrowie, WP Fitness, WP Jejswiat, WP Parenting, Medycyna24, Nerwica.com","WP abcZdrowie, WP Fitness, WP Jejswiat, WP Parenting, Medycyna24, Nerwica.com")</f>
        <v>WP abcZdrowie, WP Fitness, WP Jejswiat, WP Parenting, Medycyna24, Nerwica.com</v>
      </c>
      <c r="E36" s="887"/>
      <c r="F36" s="888"/>
      <c r="G36" s="344">
        <v>82.5</v>
      </c>
      <c r="H36" s="401">
        <v>99</v>
      </c>
      <c r="I36" s="344">
        <v>120</v>
      </c>
      <c r="J36" s="401">
        <v>144</v>
      </c>
      <c r="K36" s="344">
        <v>165</v>
      </c>
      <c r="L36" s="401">
        <v>198</v>
      </c>
      <c r="M36" s="345">
        <v>187</v>
      </c>
      <c r="N36" s="404">
        <v>224</v>
      </c>
      <c r="O36" s="345">
        <v>210</v>
      </c>
      <c r="P36" s="404">
        <v>252</v>
      </c>
      <c r="Q36" s="353"/>
      <c r="R36" s="353"/>
      <c r="S36" s="99"/>
      <c r="T36" s="99"/>
      <c r="U36" s="341"/>
      <c r="V36" s="341"/>
      <c r="W36" s="341"/>
      <c r="X36" s="353"/>
      <c r="Y36" s="353"/>
      <c r="Z36" s="353"/>
      <c r="AA36" s="353"/>
      <c r="AB36" s="353"/>
    </row>
    <row r="37" spans="1:28" s="283" customFormat="1" ht="36" customHeight="1">
      <c r="A37" s="353"/>
      <c r="B37" s="897"/>
      <c r="C37" s="342" t="str">
        <f>IF('Język - Language'!$B$30="Polski","WIDEO I AUDIO","VIDEO AND AUDIO")</f>
        <v>WIDEO I AUDIO</v>
      </c>
      <c r="D37" s="887" t="str">
        <f>IF('Język - Language'!$B$30="Polski","WP Pilot, WP Wideo, OpenFM","WP Pilot, WP Wideo, OpenFM")</f>
        <v>WP Pilot, WP Wideo, OpenFM</v>
      </c>
      <c r="E37" s="887"/>
      <c r="F37" s="888"/>
      <c r="G37" s="344">
        <v>45</v>
      </c>
      <c r="H37" s="401">
        <v>54</v>
      </c>
      <c r="I37" s="344">
        <v>68</v>
      </c>
      <c r="J37" s="401">
        <v>81</v>
      </c>
      <c r="K37" s="344">
        <v>90</v>
      </c>
      <c r="L37" s="401">
        <v>108</v>
      </c>
      <c r="M37" s="345">
        <v>106</v>
      </c>
      <c r="N37" s="404">
        <v>127</v>
      </c>
      <c r="O37" s="345">
        <v>120</v>
      </c>
      <c r="P37" s="404">
        <v>144</v>
      </c>
      <c r="Q37" s="353"/>
      <c r="R37" s="353"/>
      <c r="S37" s="99"/>
      <c r="T37" s="99"/>
      <c r="U37" s="341"/>
      <c r="V37" s="341"/>
      <c r="W37" s="341"/>
      <c r="X37" s="353"/>
      <c r="Y37" s="353"/>
      <c r="Z37" s="353"/>
      <c r="AA37" s="353"/>
      <c r="AB37" s="353"/>
    </row>
    <row r="38" spans="1:28" ht="36" customHeight="1">
      <c r="A38" s="353"/>
      <c r="B38" s="897"/>
      <c r="C38" s="348" t="str">
        <f>IF('Język - Language'!$B$30="Polski","PAKIET SPECJALNY","DEDICATED PACKAGE")</f>
        <v>PAKIET SPECJALNY</v>
      </c>
      <c r="D38" s="557" t="str">
        <f>IF('Język - Language'!$B$30="Polski","Min. 4 wybrane serwisy - BEZ SERWISÓW KATEGORII BIZNES oraz ZDROWIE I PRENTING","Min. 4 wybrane serwisy - EXCLUDING BUSINESS, HEALTH AND PARENTING SITES")</f>
        <v>Min. 4 wybrane serwisy - BEZ SERWISÓW KATEGORII BIZNES oraz ZDROWIE I PRENTING</v>
      </c>
      <c r="E38" s="557"/>
      <c r="F38" s="558"/>
      <c r="G38" s="257">
        <v>66.5</v>
      </c>
      <c r="H38" s="402">
        <v>79.800000000000011</v>
      </c>
      <c r="I38" s="257">
        <v>85.5</v>
      </c>
      <c r="J38" s="402">
        <v>102.60000000000001</v>
      </c>
      <c r="K38" s="257">
        <v>114</v>
      </c>
      <c r="L38" s="402">
        <v>136.80000000000001</v>
      </c>
      <c r="M38" s="329">
        <v>135</v>
      </c>
      <c r="N38" s="402">
        <v>162</v>
      </c>
      <c r="O38" s="329">
        <v>150</v>
      </c>
      <c r="P38" s="402">
        <v>180</v>
      </c>
      <c r="Q38" s="341"/>
      <c r="R38" s="341"/>
      <c r="S38" s="26"/>
      <c r="T38" s="26"/>
      <c r="U38" s="16"/>
      <c r="V38" s="26"/>
      <c r="W38" s="26"/>
      <c r="X38" s="341"/>
      <c r="Y38" s="341"/>
      <c r="Z38" s="341"/>
      <c r="AA38" s="341"/>
      <c r="AB38" s="341"/>
    </row>
    <row r="39" spans="1:28">
      <c r="A39" s="353"/>
      <c r="B39" s="353"/>
      <c r="C39" s="357" t="str">
        <f>IF('Język - Language'!$B$30="Polski","¹ ceny dotyczą rozliczenia vCPM zgodnego ze standardem IAB, dla innych standardów obowiązuje wycena indywidualna","* the above prices concern the vCPM settlement according to the IAB standard, for other standards individual valuation applies")</f>
        <v>¹ ceny dotyczą rozliczenia vCPM zgodnego ze standardem IAB, dla innych standardów obowiązuje wycena indywidualna</v>
      </c>
      <c r="D39" s="105"/>
      <c r="E39" s="107"/>
      <c r="F39" s="107"/>
      <c r="G39" s="105"/>
      <c r="H39" s="105"/>
      <c r="I39" s="105"/>
      <c r="J39" s="106"/>
      <c r="K39" s="353"/>
      <c r="L39" s="353"/>
      <c r="M39" s="353"/>
      <c r="N39" s="353"/>
      <c r="O39" s="353"/>
      <c r="P39" s="353"/>
      <c r="Q39" s="353"/>
      <c r="R39" s="353"/>
      <c r="S39" s="353"/>
      <c r="T39" s="353"/>
      <c r="U39" s="353"/>
      <c r="V39" s="353"/>
      <c r="W39" s="353"/>
      <c r="X39" s="353"/>
      <c r="Y39" s="353"/>
      <c r="Z39" s="353"/>
      <c r="AA39" s="353"/>
      <c r="AB39" s="353"/>
    </row>
    <row r="40" spans="1:28">
      <c r="A40" s="353"/>
      <c r="B40" s="353"/>
      <c r="C40" s="358" t="str">
        <f>IF('Język - Language'!$B$30="Polski","² na SG O2 możliwość emisji wybranych formatów reklamowych (bez Halfpage)","² in case of o2 only selected advertising formats are applicable (without Halfpage)")</f>
        <v>² na SG O2 możliwość emisji wybranych formatów reklamowych (bez Halfpage)</v>
      </c>
      <c r="D40" s="67"/>
      <c r="E40" s="49"/>
      <c r="F40" s="49"/>
      <c r="G40" s="353"/>
      <c r="H40" s="353"/>
      <c r="I40" s="353"/>
      <c r="J40" s="353"/>
      <c r="K40" s="353"/>
      <c r="L40" s="353"/>
      <c r="M40" s="353"/>
      <c r="N40" s="353"/>
      <c r="O40" s="353"/>
      <c r="P40" s="353"/>
      <c r="Q40" s="353"/>
      <c r="R40" s="353"/>
      <c r="S40" s="353"/>
      <c r="T40" s="353"/>
      <c r="U40" s="353"/>
      <c r="V40" s="353"/>
      <c r="W40" s="353"/>
      <c r="X40" s="353"/>
      <c r="Y40" s="353"/>
      <c r="Z40" s="353"/>
      <c r="AA40" s="353"/>
      <c r="AB40" s="353"/>
    </row>
    <row r="41" spans="1:28" s="283" customFormat="1">
      <c r="A41" s="353"/>
      <c r="B41" s="353"/>
      <c r="C41" s="358" t="str">
        <f>IF('Język - Language'!$B$30="Polski","³ Format dostępny na wybranych serwisach","³ Available only in selected sites")</f>
        <v>³ Format dostępny na wybranych serwisach</v>
      </c>
      <c r="D41" s="67"/>
      <c r="E41" s="49"/>
      <c r="F41" s="49"/>
      <c r="G41" s="353"/>
      <c r="H41" s="353"/>
      <c r="I41" s="353"/>
      <c r="J41" s="353"/>
      <c r="K41" s="353"/>
      <c r="L41" s="353"/>
      <c r="M41" s="353"/>
      <c r="N41" s="353"/>
      <c r="O41" s="353"/>
      <c r="P41" s="353"/>
      <c r="Q41" s="353"/>
      <c r="R41" s="353"/>
      <c r="S41" s="353"/>
      <c r="T41" s="353"/>
      <c r="U41" s="353"/>
      <c r="V41" s="353"/>
      <c r="W41" s="353"/>
      <c r="X41" s="353"/>
      <c r="Y41" s="353"/>
      <c r="Z41" s="353"/>
      <c r="AA41" s="353"/>
      <c r="AB41" s="353"/>
    </row>
    <row r="42" spans="1:28" s="283" customFormat="1">
      <c r="A42" s="353"/>
      <c r="B42" s="353"/>
      <c r="C42" s="338" t="s">
        <v>114</v>
      </c>
      <c r="D42" s="67"/>
      <c r="E42" s="49"/>
      <c r="F42" s="49"/>
      <c r="G42" s="353"/>
      <c r="H42" s="353"/>
      <c r="I42" s="353"/>
      <c r="J42" s="353"/>
      <c r="K42" s="353"/>
      <c r="L42" s="353"/>
      <c r="M42" s="353"/>
      <c r="N42" s="353"/>
      <c r="O42" s="353"/>
      <c r="P42" s="353"/>
      <c r="Q42" s="353"/>
      <c r="R42" s="353"/>
      <c r="S42" s="353"/>
      <c r="T42" s="353"/>
      <c r="U42" s="353"/>
      <c r="V42" s="353"/>
      <c r="W42" s="353"/>
      <c r="X42" s="353"/>
      <c r="Y42" s="353"/>
      <c r="Z42" s="353"/>
      <c r="AA42" s="353"/>
      <c r="AB42" s="353"/>
    </row>
    <row r="43" spans="1:28" s="353" customFormat="1">
      <c r="C43" s="338" t="s">
        <v>115</v>
      </c>
      <c r="D43" s="67"/>
      <c r="E43" s="49"/>
      <c r="F43" s="49"/>
    </row>
    <row r="44" spans="1:28" s="101" customFormat="1" ht="12.75" customHeight="1">
      <c r="A44" s="353"/>
      <c r="B44" s="341"/>
      <c r="C44" s="108"/>
      <c r="D44" s="140"/>
      <c r="E44" s="23"/>
      <c r="F44" s="23"/>
      <c r="G44" s="23"/>
      <c r="H44" s="23"/>
      <c r="I44" s="23"/>
      <c r="J44" s="23"/>
      <c r="K44" s="24"/>
      <c r="L44" s="24"/>
      <c r="M44" s="24"/>
      <c r="N44" s="24"/>
      <c r="O44" s="353"/>
      <c r="P44" s="353"/>
      <c r="Q44" s="353"/>
      <c r="R44" s="353"/>
      <c r="S44" s="353"/>
      <c r="T44" s="353"/>
      <c r="U44" s="353"/>
      <c r="V44" s="353"/>
      <c r="W44" s="353"/>
      <c r="X44" s="353"/>
      <c r="Y44" s="353"/>
      <c r="Z44" s="353"/>
      <c r="AA44" s="353"/>
      <c r="AB44" s="353"/>
    </row>
    <row r="46" spans="1:28" ht="25.5" customHeight="1">
      <c r="A46" s="353"/>
      <c r="B46" s="25"/>
      <c r="C46" s="868" t="str">
        <f>IF('Język - Language'!$B$30="Polski","ARTYKUŁY SPONSOROWANE","ADVERTORIALS")</f>
        <v>ARTYKUŁY SPONSOROWANE</v>
      </c>
      <c r="D46" s="648"/>
      <c r="E46" s="648"/>
      <c r="F46" s="648"/>
      <c r="G46" s="648"/>
      <c r="H46" s="648"/>
      <c r="I46" s="648"/>
      <c r="J46" s="648"/>
      <c r="K46" s="648"/>
      <c r="L46" s="648"/>
      <c r="M46" s="648"/>
      <c r="N46" s="655"/>
      <c r="O46" s="353"/>
      <c r="P46" s="353"/>
      <c r="Q46" s="353"/>
      <c r="R46" s="353"/>
      <c r="S46" s="353"/>
      <c r="T46" s="353"/>
      <c r="U46" s="353"/>
      <c r="V46" s="353"/>
      <c r="W46" s="353"/>
      <c r="X46" s="353"/>
      <c r="Y46" s="353"/>
      <c r="Z46" s="353"/>
      <c r="AA46" s="353"/>
      <c r="AB46" s="353"/>
    </row>
    <row r="47" spans="1:28" ht="12.75" customHeight="1">
      <c r="A47" s="353"/>
      <c r="B47" s="25"/>
      <c r="C47" s="319" t="s">
        <v>134</v>
      </c>
      <c r="D47" s="876" t="s">
        <v>207</v>
      </c>
      <c r="E47" s="876"/>
      <c r="F47" s="939"/>
      <c r="G47" s="868" t="str">
        <f>IF('Język - Language'!$B$30="Polski","ARTYKUŁ SPONSOROWANY Z GWARANCJĄ¹","ADVERTORIALS WITH A GUARANTEE¹")</f>
        <v>ARTYKUŁ SPONSOROWANY Z GWARANCJĄ¹</v>
      </c>
      <c r="H47" s="648"/>
      <c r="I47" s="648"/>
      <c r="J47" s="655"/>
      <c r="K47" s="944" t="s">
        <v>209</v>
      </c>
      <c r="L47" s="945"/>
      <c r="M47" s="945"/>
      <c r="N47" s="946"/>
      <c r="O47" s="353"/>
      <c r="P47" s="353"/>
      <c r="Q47" s="353"/>
      <c r="R47" s="353"/>
      <c r="S47" s="353"/>
      <c r="T47" s="353"/>
      <c r="U47" s="353"/>
      <c r="V47" s="353"/>
      <c r="W47" s="353"/>
      <c r="X47" s="353"/>
      <c r="Y47" s="353"/>
      <c r="Z47" s="353"/>
      <c r="AA47" s="353"/>
      <c r="AB47" s="353"/>
    </row>
    <row r="48" spans="1:28" ht="12.75" customHeight="1">
      <c r="A48" s="353"/>
      <c r="B48" s="795" t="s">
        <v>211</v>
      </c>
      <c r="C48" s="445" t="s">
        <v>155</v>
      </c>
      <c r="D48" s="862">
        <v>11000</v>
      </c>
      <c r="E48" s="855"/>
      <c r="F48" s="856"/>
      <c r="G48" s="859">
        <v>9000</v>
      </c>
      <c r="H48" s="860"/>
      <c r="I48" s="860"/>
      <c r="J48" s="861"/>
      <c r="K48" s="947" t="s">
        <v>8</v>
      </c>
      <c r="L48" s="948"/>
      <c r="M48" s="948"/>
      <c r="N48" s="949"/>
      <c r="O48" s="353"/>
      <c r="P48" s="353"/>
      <c r="Q48" s="353"/>
      <c r="R48" s="353"/>
      <c r="S48" s="353"/>
      <c r="T48" s="353"/>
      <c r="U48" s="353"/>
      <c r="V48" s="353"/>
      <c r="W48" s="353"/>
      <c r="X48" s="353"/>
      <c r="Y48" s="353"/>
      <c r="Z48" s="353"/>
      <c r="AA48" s="353"/>
      <c r="AB48" s="353"/>
    </row>
    <row r="49" spans="1:15" ht="12.75" customHeight="1">
      <c r="A49" s="353"/>
      <c r="B49" s="795"/>
      <c r="C49" s="443" t="s">
        <v>161</v>
      </c>
      <c r="D49" s="862">
        <v>11000</v>
      </c>
      <c r="E49" s="855"/>
      <c r="F49" s="856"/>
      <c r="G49" s="859"/>
      <c r="H49" s="860"/>
      <c r="I49" s="860"/>
      <c r="J49" s="861"/>
      <c r="K49" s="947"/>
      <c r="L49" s="948"/>
      <c r="M49" s="948"/>
      <c r="N49" s="949"/>
    </row>
    <row r="50" spans="1:15" ht="12.75" customHeight="1">
      <c r="A50" s="353"/>
      <c r="B50" s="795"/>
      <c r="C50" s="443" t="s">
        <v>180</v>
      </c>
      <c r="D50" s="862">
        <v>11000</v>
      </c>
      <c r="E50" s="855"/>
      <c r="F50" s="856"/>
      <c r="G50" s="859"/>
      <c r="H50" s="860"/>
      <c r="I50" s="860"/>
      <c r="J50" s="861"/>
      <c r="K50" s="947"/>
      <c r="L50" s="948"/>
      <c r="M50" s="948"/>
      <c r="N50" s="949"/>
    </row>
    <row r="51" spans="1:15" ht="12.75" customHeight="1">
      <c r="A51" s="353"/>
      <c r="B51" s="795"/>
      <c r="C51" s="223" t="s">
        <v>167</v>
      </c>
      <c r="D51" s="862">
        <v>7500</v>
      </c>
      <c r="E51" s="855"/>
      <c r="F51" s="856"/>
      <c r="G51" s="859"/>
      <c r="H51" s="860"/>
      <c r="I51" s="860"/>
      <c r="J51" s="861"/>
      <c r="K51" s="947"/>
      <c r="L51" s="948"/>
      <c r="M51" s="948"/>
      <c r="N51" s="949"/>
    </row>
    <row r="52" spans="1:15" s="353" customFormat="1" ht="12.75" customHeight="1">
      <c r="B52" s="795"/>
      <c r="C52" s="223" t="s">
        <v>178</v>
      </c>
      <c r="D52" s="875">
        <v>7500</v>
      </c>
      <c r="E52" s="857"/>
      <c r="F52" s="858"/>
      <c r="G52" s="859"/>
      <c r="H52" s="860"/>
      <c r="I52" s="860"/>
      <c r="J52" s="861"/>
      <c r="K52" s="947"/>
      <c r="L52" s="948"/>
      <c r="M52" s="948"/>
      <c r="N52" s="949"/>
    </row>
    <row r="53" spans="1:15" s="353" customFormat="1" ht="12.75" customHeight="1">
      <c r="B53" s="795"/>
      <c r="C53" s="223" t="s">
        <v>171</v>
      </c>
      <c r="D53" s="875">
        <v>4000</v>
      </c>
      <c r="E53" s="857"/>
      <c r="F53" s="858"/>
      <c r="G53" s="859"/>
      <c r="H53" s="860"/>
      <c r="I53" s="860"/>
      <c r="J53" s="861"/>
      <c r="K53" s="947"/>
      <c r="L53" s="948"/>
      <c r="M53" s="948"/>
      <c r="N53" s="949"/>
    </row>
    <row r="54" spans="1:15" s="133" customFormat="1" ht="12.75" customHeight="1">
      <c r="A54" s="353"/>
      <c r="B54" s="795"/>
      <c r="C54" s="239" t="s">
        <v>175</v>
      </c>
      <c r="D54" s="862">
        <v>4000</v>
      </c>
      <c r="E54" s="855"/>
      <c r="F54" s="856"/>
      <c r="G54" s="862"/>
      <c r="H54" s="855"/>
      <c r="I54" s="855"/>
      <c r="J54" s="856"/>
      <c r="K54" s="937"/>
      <c r="L54" s="950"/>
      <c r="M54" s="950"/>
      <c r="N54" s="938"/>
    </row>
    <row r="55" spans="1:15" s="353" customFormat="1" ht="12.75" customHeight="1">
      <c r="B55" s="867"/>
      <c r="C55" s="224" t="s">
        <v>210</v>
      </c>
      <c r="D55" s="853" t="s">
        <v>8</v>
      </c>
      <c r="E55" s="854"/>
      <c r="F55" s="863"/>
      <c r="G55" s="853" t="s">
        <v>8</v>
      </c>
      <c r="H55" s="854"/>
      <c r="I55" s="854"/>
      <c r="J55" s="863"/>
      <c r="K55" s="864">
        <v>2500</v>
      </c>
      <c r="L55" s="865"/>
      <c r="M55" s="865"/>
      <c r="N55" s="866"/>
    </row>
    <row r="56" spans="1:15" s="353" customFormat="1" ht="12.75" customHeight="1">
      <c r="B56" s="341"/>
      <c r="C56" s="228" t="str">
        <f>IF('Język - Language'!$B$30="Polski","¹ gwarancja oglądalności 5 000 UU","¹ guarantee 5 000 UU")</f>
        <v>¹ gwarancja oglądalności 5 000 UU</v>
      </c>
      <c r="D56" s="512"/>
      <c r="E56" s="512"/>
      <c r="F56" s="512"/>
      <c r="G56" s="237"/>
      <c r="H56" s="237"/>
      <c r="I56" s="236"/>
      <c r="J56" s="236"/>
      <c r="K56" s="236"/>
      <c r="M56" s="515"/>
    </row>
    <row r="57" spans="1:15" s="353" customFormat="1" ht="12.75" customHeight="1">
      <c r="B57" s="341"/>
      <c r="C57" s="228"/>
      <c r="D57" s="512"/>
      <c r="E57" s="512"/>
      <c r="F57" s="512"/>
      <c r="G57" s="237"/>
      <c r="H57" s="237"/>
      <c r="I57" s="236"/>
      <c r="J57" s="236"/>
      <c r="K57" s="236"/>
      <c r="M57" s="515"/>
    </row>
    <row r="58" spans="1:15" s="133" customFormat="1" ht="12.75" customHeight="1">
      <c r="A58" s="353"/>
      <c r="B58" s="341"/>
      <c r="C58" s="225" t="str">
        <f>IF('Język - Language'!$B$30="Polski","ARTYKUŁ SPONSOROWANY LOKALNY - OPCJE DODATKOWE / DOPŁATY DO CENY PODSTAWOWEJ:","ADDITIONAL OPTIONS / EXTRA CHARGES TO BASIC PRICE:")</f>
        <v>ARTYKUŁ SPONSOROWANY LOKALNY - OPCJE DODATKOWE / DOPŁATY DO CENY PODSTAWOWEJ:</v>
      </c>
      <c r="D58" s="484"/>
      <c r="E58" s="484"/>
      <c r="F58" s="484"/>
      <c r="G58" s="237"/>
      <c r="H58" s="237"/>
      <c r="I58" s="236"/>
      <c r="J58" s="236"/>
      <c r="K58" s="236"/>
      <c r="L58" s="353"/>
      <c r="M58" s="480"/>
      <c r="N58" s="353"/>
    </row>
    <row r="59" spans="1:15" s="133" customFormat="1" ht="25.5" customHeight="1">
      <c r="A59" s="353"/>
      <c r="B59" s="25"/>
      <c r="C59" s="872" t="str">
        <f>IF('Język - Language'!$B$30="Polski","WOJEWÓDZTWO","PROVINCE")</f>
        <v>WOJEWÓDZTWO</v>
      </c>
      <c r="D59" s="485"/>
      <c r="E59" s="873" t="str">
        <f>IF('Język - Language'!$B$30="Polski","GEOTARGETOWANY LINK TEKSTOWY NA SG WP / 1 DZIEŃ, FLAT FEE¹","TEXTUAL LINK WITH GEOTARGETING IN THE WP HP / 1 DAY, FLAT FEE¹")</f>
        <v>GEOTARGETOWANY LINK TEKSTOWY NA SG WP / 1 DZIEŃ, FLAT FEE¹</v>
      </c>
      <c r="F59" s="873"/>
      <c r="G59" s="648" t="str">
        <f>IF('Język - Language'!$B$30="Polski","GEOBOX NA SG WP, 7 DNI, FLAT FEE¹","GEOBOX IN THE WP HP, 7 DAYS, FLAT FEE¹")</f>
        <v>GEOBOX NA SG WP, 7 DNI, FLAT FEE¹</v>
      </c>
      <c r="H59" s="648"/>
      <c r="I59" s="648"/>
      <c r="J59" s="655"/>
      <c r="K59" s="236"/>
      <c r="L59" s="236"/>
      <c r="M59" s="236"/>
      <c r="N59" s="353"/>
      <c r="O59" s="480"/>
    </row>
    <row r="60" spans="1:15" s="133" customFormat="1" ht="24.75" customHeight="1">
      <c r="A60" s="353"/>
      <c r="B60" s="341"/>
      <c r="C60" s="826"/>
      <c r="D60" s="472"/>
      <c r="E60" s="481" t="str">
        <f>IF('Język - Language'!$B$30="Polski","MODUŁ WIADOMOŚCI","CATEGORY NEWS")</f>
        <v>MODUŁ WIADOMOŚCI</v>
      </c>
      <c r="F60" s="476" t="str">
        <f>IF('Język - Language'!$B$30="Polski","MODUŁ SPORT","CATEGORY SPORT")</f>
        <v>MODUŁ SPORT</v>
      </c>
      <c r="G60" s="874" t="str">
        <f>IF('Język - Language'!$B$30="Polski","MODUŁ GWIAZDY","CATEGORY STARS")</f>
        <v>MODUŁ GWIAZDY</v>
      </c>
      <c r="H60" s="874"/>
      <c r="I60" s="772" t="str">
        <f>IF('Język - Language'!$B$30="Polski","MODUŁ  MOTO, TECH, STYL ŻYCIA","CATEGORY MOTO, TECH, LIFESTYLE")</f>
        <v>MODUŁ  MOTO, TECH, STYL ŻYCIA</v>
      </c>
      <c r="J60" s="779"/>
      <c r="K60" s="236"/>
      <c r="L60" s="236"/>
      <c r="M60" s="236"/>
      <c r="N60" s="353"/>
      <c r="O60" s="480"/>
    </row>
    <row r="61" spans="1:15" s="133" customFormat="1" ht="12.75" customHeight="1">
      <c r="A61" s="353"/>
      <c r="B61" s="795" t="s">
        <v>116</v>
      </c>
      <c r="C61" s="642" t="s">
        <v>120</v>
      </c>
      <c r="D61" s="644"/>
      <c r="E61" s="240">
        <v>4500</v>
      </c>
      <c r="F61" s="241">
        <v>3500</v>
      </c>
      <c r="G61" s="862">
        <v>2500</v>
      </c>
      <c r="H61" s="855"/>
      <c r="I61" s="855">
        <v>1500</v>
      </c>
      <c r="J61" s="856"/>
      <c r="K61" s="236"/>
      <c r="L61" s="236"/>
      <c r="M61" s="236"/>
      <c r="N61" s="353"/>
      <c r="O61" s="480"/>
    </row>
    <row r="62" spans="1:15" s="133" customFormat="1" ht="12.75" customHeight="1">
      <c r="A62" s="353"/>
      <c r="B62" s="795"/>
      <c r="C62" s="577" t="s">
        <v>121</v>
      </c>
      <c r="D62" s="579"/>
      <c r="E62" s="242">
        <v>2000</v>
      </c>
      <c r="F62" s="243">
        <v>1500</v>
      </c>
      <c r="G62" s="875">
        <v>1500</v>
      </c>
      <c r="H62" s="857"/>
      <c r="I62" s="857">
        <v>1000</v>
      </c>
      <c r="J62" s="858"/>
      <c r="K62" s="236"/>
      <c r="L62" s="236"/>
      <c r="M62" s="236"/>
      <c r="N62" s="353"/>
      <c r="O62" s="480"/>
    </row>
    <row r="63" spans="1:15" s="133" customFormat="1" ht="12.75" customHeight="1">
      <c r="A63" s="353"/>
      <c r="B63" s="795"/>
      <c r="C63" s="577" t="s">
        <v>122</v>
      </c>
      <c r="D63" s="579"/>
      <c r="E63" s="242">
        <v>1500</v>
      </c>
      <c r="F63" s="243">
        <v>1300</v>
      </c>
      <c r="G63" s="875">
        <v>1000</v>
      </c>
      <c r="H63" s="857"/>
      <c r="I63" s="857">
        <v>700</v>
      </c>
      <c r="J63" s="858"/>
      <c r="K63" s="236"/>
      <c r="L63" s="236"/>
      <c r="M63" s="236"/>
      <c r="N63" s="353"/>
      <c r="O63" s="480"/>
    </row>
    <row r="64" spans="1:15" s="133" customFormat="1" ht="37.5" customHeight="1">
      <c r="A64" s="353"/>
      <c r="B64" s="795"/>
      <c r="C64" s="569" t="s">
        <v>123</v>
      </c>
      <c r="D64" s="571"/>
      <c r="E64" s="242">
        <v>1000</v>
      </c>
      <c r="F64" s="243">
        <v>700</v>
      </c>
      <c r="G64" s="875">
        <v>1000</v>
      </c>
      <c r="H64" s="857"/>
      <c r="I64" s="857">
        <v>700</v>
      </c>
      <c r="J64" s="858"/>
      <c r="K64" s="236"/>
      <c r="L64" s="236"/>
      <c r="M64" s="236"/>
      <c r="N64" s="353"/>
      <c r="O64" s="480"/>
    </row>
    <row r="65" spans="1:15" s="133" customFormat="1" ht="25.5" customHeight="1">
      <c r="A65" s="353"/>
      <c r="B65" s="795"/>
      <c r="C65" s="940" t="s">
        <v>124</v>
      </c>
      <c r="D65" s="941"/>
      <c r="E65" s="244">
        <v>700</v>
      </c>
      <c r="F65" s="245">
        <v>500</v>
      </c>
      <c r="G65" s="853">
        <v>500</v>
      </c>
      <c r="H65" s="854"/>
      <c r="I65" s="935">
        <v>500</v>
      </c>
      <c r="J65" s="936"/>
      <c r="K65" s="236"/>
      <c r="L65" s="236"/>
      <c r="M65" s="236"/>
      <c r="N65" s="353"/>
      <c r="O65" s="480"/>
    </row>
    <row r="66" spans="1:15" s="133" customFormat="1">
      <c r="A66" s="353"/>
      <c r="B66" s="353"/>
      <c r="C66" s="228" t="str">
        <f>IF('Język - Language'!$B$30="Polski","¹ wycena net-net, ceny dla 1 województwa","¹ net-net valuation, prices for 1 province")</f>
        <v>¹ wycena net-net, ceny dla 1 województwa</v>
      </c>
      <c r="D66" s="228"/>
      <c r="E66" s="496"/>
      <c r="F66" s="496"/>
      <c r="G66" s="496"/>
      <c r="H66" s="496"/>
      <c r="I66" s="496"/>
      <c r="J66" s="496"/>
      <c r="K66" s="419"/>
      <c r="L66" s="353"/>
      <c r="M66" s="353"/>
      <c r="N66" s="480"/>
    </row>
    <row r="67" spans="1:15" s="353" customFormat="1" ht="12.75" customHeight="1">
      <c r="B67" s="341"/>
      <c r="C67" s="235"/>
      <c r="D67" s="510"/>
      <c r="E67" s="510"/>
      <c r="F67" s="510"/>
      <c r="G67" s="237"/>
      <c r="H67" s="237"/>
      <c r="I67" s="236"/>
      <c r="J67" s="236"/>
      <c r="K67" s="236"/>
      <c r="M67" s="509"/>
    </row>
    <row r="68" spans="1:15" s="353" customFormat="1" ht="25.5" customHeight="1">
      <c r="B68" s="25"/>
      <c r="C68" s="868" t="s">
        <v>208</v>
      </c>
      <c r="D68" s="648"/>
      <c r="E68" s="648"/>
      <c r="F68" s="648"/>
      <c r="G68" s="648"/>
      <c r="H68" s="648"/>
      <c r="I68" s="648"/>
      <c r="J68" s="655"/>
    </row>
    <row r="69" spans="1:15" s="353" customFormat="1" ht="12.75" customHeight="1">
      <c r="B69" s="25"/>
      <c r="C69" s="517"/>
      <c r="D69" s="649" t="s">
        <v>214</v>
      </c>
      <c r="E69" s="649"/>
      <c r="F69" s="649"/>
      <c r="G69" s="648" t="s">
        <v>213</v>
      </c>
      <c r="H69" s="648"/>
      <c r="I69" s="648"/>
      <c r="J69" s="655"/>
    </row>
    <row r="70" spans="1:15" s="353" customFormat="1" ht="12.75" customHeight="1">
      <c r="B70" s="25"/>
      <c r="C70" s="319" t="s">
        <v>212</v>
      </c>
      <c r="D70" s="876" t="s">
        <v>215</v>
      </c>
      <c r="E70" s="876"/>
      <c r="F70" s="514" t="s">
        <v>225</v>
      </c>
      <c r="G70" s="877" t="s">
        <v>215</v>
      </c>
      <c r="H70" s="878"/>
      <c r="I70" s="878" t="s">
        <v>225</v>
      </c>
      <c r="J70" s="848"/>
    </row>
    <row r="71" spans="1:15" s="353" customFormat="1" ht="12.75" customHeight="1">
      <c r="B71" s="795" t="s">
        <v>116</v>
      </c>
      <c r="C71" s="518">
        <v>1</v>
      </c>
      <c r="D71" s="879" t="s">
        <v>216</v>
      </c>
      <c r="E71" s="880"/>
      <c r="F71" s="521">
        <v>12000</v>
      </c>
      <c r="G71" s="881" t="s">
        <v>220</v>
      </c>
      <c r="H71" s="882"/>
      <c r="I71" s="955">
        <v>15000</v>
      </c>
      <c r="J71" s="956"/>
    </row>
    <row r="72" spans="1:15" s="353" customFormat="1" ht="12.75" customHeight="1">
      <c r="B72" s="795"/>
      <c r="C72" s="519">
        <v>2</v>
      </c>
      <c r="D72" s="875" t="s">
        <v>217</v>
      </c>
      <c r="E72" s="857"/>
      <c r="F72" s="516">
        <v>22800</v>
      </c>
      <c r="G72" s="951" t="s">
        <v>221</v>
      </c>
      <c r="H72" s="952"/>
      <c r="I72" s="844">
        <v>28500</v>
      </c>
      <c r="J72" s="845"/>
    </row>
    <row r="73" spans="1:15" s="353" customFormat="1" ht="12.75" customHeight="1">
      <c r="B73" s="795"/>
      <c r="C73" s="520">
        <v>3</v>
      </c>
      <c r="D73" s="875" t="s">
        <v>218</v>
      </c>
      <c r="E73" s="857"/>
      <c r="F73" s="516">
        <v>32400</v>
      </c>
      <c r="G73" s="951" t="s">
        <v>222</v>
      </c>
      <c r="H73" s="952"/>
      <c r="I73" s="844">
        <v>40500</v>
      </c>
      <c r="J73" s="845"/>
    </row>
    <row r="74" spans="1:15" s="353" customFormat="1" ht="12.75" customHeight="1">
      <c r="B74" s="867"/>
      <c r="C74" s="513">
        <v>4</v>
      </c>
      <c r="D74" s="853" t="s">
        <v>219</v>
      </c>
      <c r="E74" s="854"/>
      <c r="F74" s="245">
        <v>40800</v>
      </c>
      <c r="G74" s="953" t="s">
        <v>223</v>
      </c>
      <c r="H74" s="954"/>
      <c r="I74" s="846">
        <v>51000</v>
      </c>
      <c r="J74" s="847"/>
    </row>
    <row r="75" spans="1:15" s="353" customFormat="1" ht="12.75" customHeight="1">
      <c r="B75" s="341"/>
      <c r="C75" s="235"/>
      <c r="D75" s="510"/>
      <c r="E75" s="510"/>
      <c r="F75" s="510"/>
      <c r="G75" s="237"/>
      <c r="H75" s="237"/>
      <c r="I75" s="236"/>
      <c r="J75" s="236"/>
      <c r="K75" s="236"/>
      <c r="M75" s="509"/>
    </row>
    <row r="76" spans="1:15" s="136" customFormat="1" ht="12.75" customHeight="1">
      <c r="A76" s="353"/>
      <c r="B76" s="341"/>
      <c r="C76" s="238"/>
      <c r="D76" s="484"/>
      <c r="E76" s="484"/>
      <c r="F76" s="484"/>
      <c r="G76" s="237"/>
      <c r="H76" s="237"/>
      <c r="I76" s="236"/>
      <c r="J76" s="236"/>
      <c r="K76" s="236"/>
      <c r="L76" s="353"/>
      <c r="M76" s="480"/>
      <c r="N76" s="353"/>
    </row>
    <row r="77" spans="1:15" s="136" customFormat="1" ht="25.5" customHeight="1">
      <c r="A77" s="353"/>
      <c r="B77" s="341"/>
      <c r="C77" s="648" t="str">
        <f>IF('Język - Language'!$B$30="Polski","PLOTKI SPONSOROWANE","SPONSORED GOSSIPS")</f>
        <v>PLOTKI SPONSOROWANE</v>
      </c>
      <c r="D77" s="648"/>
      <c r="E77" s="648"/>
      <c r="F77" s="648"/>
      <c r="G77" s="648"/>
      <c r="H77" s="655"/>
      <c r="I77" s="236"/>
      <c r="J77" s="236"/>
      <c r="K77" s="236"/>
      <c r="L77" s="353"/>
      <c r="M77" s="480"/>
      <c r="N77" s="353"/>
    </row>
    <row r="78" spans="1:15" s="136" customFormat="1" ht="12.75" customHeight="1">
      <c r="A78" s="353"/>
      <c r="B78" s="341"/>
      <c r="C78" s="472" t="str">
        <f>IF('Język - Language'!$B$30="Polski","MIEJSCE EMISJI","PLACE OF EMISSION")</f>
        <v>MIEJSCE EMISJI</v>
      </c>
      <c r="D78" s="648" t="str">
        <f>IF('Język - Language'!$B$30="Polski","CZAS EMISJI","TIME")</f>
        <v>CZAS EMISJI</v>
      </c>
      <c r="E78" s="648"/>
      <c r="F78" s="648"/>
      <c r="G78" s="848" t="str">
        <f>IF('Język - Language'!$B$30="Polski","CENA NET  NET","PRICE NET  NET")</f>
        <v>CENA NET  NET</v>
      </c>
      <c r="H78" s="848"/>
      <c r="I78" s="236"/>
      <c r="J78" s="236"/>
      <c r="K78" s="236"/>
      <c r="L78" s="353"/>
      <c r="M78" s="480"/>
      <c r="N78" s="353"/>
    </row>
    <row r="79" spans="1:15" s="136" customFormat="1" ht="12.75" customHeight="1">
      <c r="A79" s="353"/>
      <c r="B79" s="895" t="s">
        <v>116</v>
      </c>
      <c r="C79" s="239" t="s">
        <v>117</v>
      </c>
      <c r="D79" s="942" t="str">
        <f>IF('Język - Language'!$B$30="Polski","1 dzień","24 hours")</f>
        <v>1 dzień</v>
      </c>
      <c r="E79" s="942"/>
      <c r="F79" s="943"/>
      <c r="G79" s="937">
        <v>20000</v>
      </c>
      <c r="H79" s="938"/>
      <c r="I79" s="236"/>
      <c r="J79" s="236"/>
      <c r="K79" s="236"/>
      <c r="L79" s="353"/>
      <c r="M79" s="480"/>
      <c r="N79" s="353"/>
    </row>
    <row r="80" spans="1:15" s="136" customFormat="1" ht="12.75" customHeight="1">
      <c r="A80" s="353"/>
      <c r="B80" s="895"/>
      <c r="C80" s="223" t="s">
        <v>118</v>
      </c>
      <c r="D80" s="942"/>
      <c r="E80" s="942"/>
      <c r="F80" s="943"/>
      <c r="G80" s="870">
        <v>10000</v>
      </c>
      <c r="H80" s="871"/>
      <c r="I80" s="236"/>
      <c r="J80" s="236"/>
      <c r="K80" s="236"/>
      <c r="L80" s="353"/>
      <c r="M80" s="480"/>
      <c r="N80" s="353"/>
    </row>
    <row r="81" spans="1:14" s="136" customFormat="1" ht="12.75" customHeight="1">
      <c r="A81" s="353"/>
      <c r="B81" s="896"/>
      <c r="C81" s="224" t="s">
        <v>119</v>
      </c>
      <c r="D81" s="849"/>
      <c r="E81" s="849"/>
      <c r="F81" s="850"/>
      <c r="G81" s="851">
        <v>25000</v>
      </c>
      <c r="H81" s="852"/>
      <c r="I81" s="236"/>
      <c r="J81" s="236"/>
      <c r="K81" s="236"/>
      <c r="L81" s="353"/>
      <c r="M81" s="480"/>
      <c r="N81" s="353"/>
    </row>
    <row r="82" spans="1:14">
      <c r="A82" s="353"/>
      <c r="B82" s="353"/>
      <c r="C82" s="284"/>
      <c r="D82" s="284"/>
      <c r="E82" s="236"/>
      <c r="F82" s="236"/>
      <c r="G82" s="236"/>
      <c r="H82" s="236"/>
      <c r="I82" s="236"/>
      <c r="J82" s="236"/>
      <c r="K82" s="234"/>
      <c r="L82" s="20"/>
      <c r="M82" s="353"/>
      <c r="N82" s="480"/>
    </row>
    <row r="83" spans="1:14" s="353" customFormat="1" ht="25.5" customHeight="1">
      <c r="B83" s="341"/>
      <c r="C83" s="648" t="str">
        <f>IF('Język - Language'!$B$30="Polski","PLOTKA NATYWNA¹","NATIVE GOSSIP¹")</f>
        <v>PLOTKA NATYWNA¹</v>
      </c>
      <c r="D83" s="648"/>
      <c r="E83" s="648"/>
      <c r="F83" s="648"/>
      <c r="G83" s="648"/>
      <c r="H83" s="655"/>
      <c r="I83" s="236"/>
      <c r="J83" s="236"/>
      <c r="K83" s="236"/>
      <c r="M83" s="515"/>
    </row>
    <row r="84" spans="1:14" s="353" customFormat="1" ht="12.75" customHeight="1">
      <c r="B84" s="341"/>
      <c r="C84" s="511" t="str">
        <f>IF('Język - Language'!$B$30="Polski","MIEJSCE EMISJI","PLACE OF EMISSION")</f>
        <v>MIEJSCE EMISJI</v>
      </c>
      <c r="D84" s="648" t="str">
        <f>IF('Język - Language'!$B$30="Polski","CZAS EMISJI","TIME")</f>
        <v>CZAS EMISJI</v>
      </c>
      <c r="E84" s="648"/>
      <c r="F84" s="648"/>
      <c r="G84" s="848" t="str">
        <f>IF('Język - Language'!$B$30="Polski","CENA NET  NET","PRICE NET  NET")</f>
        <v>CENA NET  NET</v>
      </c>
      <c r="H84" s="848"/>
      <c r="I84" s="236"/>
      <c r="J84" s="236"/>
      <c r="K84" s="236"/>
      <c r="M84" s="515"/>
    </row>
    <row r="85" spans="1:14" s="353" customFormat="1" ht="38.25" customHeight="1">
      <c r="B85" s="522" t="s">
        <v>116</v>
      </c>
      <c r="C85" s="224" t="s">
        <v>117</v>
      </c>
      <c r="D85" s="849" t="s">
        <v>224</v>
      </c>
      <c r="E85" s="849"/>
      <c r="F85" s="850"/>
      <c r="G85" s="851">
        <v>25000</v>
      </c>
      <c r="H85" s="852"/>
      <c r="I85" s="236"/>
      <c r="J85" s="236"/>
      <c r="K85" s="236"/>
      <c r="M85" s="515"/>
    </row>
    <row r="86" spans="1:14" s="353" customFormat="1" ht="12.75" customHeight="1">
      <c r="B86" s="341"/>
      <c r="C86" s="228" t="str">
        <f>IF('Język - Language'!$B$30="Polski","¹ zasięg 15 000 UU","¹ reach 15 000 UU")</f>
        <v>¹ zasięg 15 000 UU</v>
      </c>
      <c r="D86" s="512"/>
      <c r="E86" s="512"/>
      <c r="F86" s="512"/>
      <c r="G86" s="237"/>
      <c r="H86" s="237"/>
      <c r="I86" s="236"/>
      <c r="J86" s="236"/>
      <c r="K86" s="236"/>
      <c r="M86" s="515"/>
    </row>
    <row r="87" spans="1:14" s="117" customFormat="1" ht="12.75" customHeight="1">
      <c r="A87" s="353"/>
      <c r="B87" s="353"/>
      <c r="C87" s="201"/>
      <c r="D87" s="201"/>
      <c r="E87" s="201"/>
      <c r="F87" s="201"/>
      <c r="G87" s="201"/>
      <c r="H87" s="201"/>
      <c r="I87" s="201"/>
      <c r="J87" s="201"/>
      <c r="K87" s="201"/>
      <c r="L87" s="353"/>
      <c r="M87" s="353"/>
      <c r="N87" s="898"/>
    </row>
    <row r="88" spans="1:14" ht="12.75" customHeight="1">
      <c r="A88" s="353"/>
      <c r="B88" s="353"/>
      <c r="C88" s="225" t="str">
        <f>IF('Język - Language'!$B$30="Polski","INFORMACJE DODATKOWE: ","FURTHER INFORMATION: ")</f>
        <v xml:space="preserve">INFORMACJE DODATKOWE: </v>
      </c>
      <c r="D88" s="225"/>
      <c r="E88" s="496"/>
      <c r="F88" s="496"/>
      <c r="G88" s="496"/>
      <c r="H88" s="496"/>
      <c r="I88" s="496"/>
      <c r="J88" s="496"/>
      <c r="K88" s="200" t="s">
        <v>63</v>
      </c>
      <c r="L88" s="353"/>
      <c r="M88" s="353"/>
      <c r="N88" s="898"/>
    </row>
    <row r="89" spans="1:14" ht="12.75" customHeight="1">
      <c r="A89" s="353"/>
      <c r="B89" s="353"/>
      <c r="C89" s="869" t="str">
        <f>IF('Język - Language'!$B$30="Polski","Artykuł sponsorowany standard – koszt obejmuje emisję tygodniową wraz z zajawką na stronie głównej serwisu, w którym dany artykuł jest umieszczony.","A standard sponsored article includes weekly editorial preview in the HP of a given site in which the article is placed.")</f>
        <v>Artykuł sponsorowany standard – koszt obejmuje emisję tygodniową wraz z zajawką na stronie głównej serwisu, w którym dany artykuł jest umieszczony.</v>
      </c>
      <c r="D89" s="869"/>
      <c r="E89" s="869"/>
      <c r="F89" s="869"/>
      <c r="G89" s="869"/>
      <c r="H89" s="869"/>
      <c r="I89" s="869"/>
      <c r="J89" s="869"/>
      <c r="K89" s="869"/>
      <c r="L89" s="353"/>
      <c r="M89" s="353"/>
      <c r="N89" s="898"/>
    </row>
    <row r="90" spans="1:14" s="154" customFormat="1" ht="13.35" customHeight="1">
      <c r="A90" s="353"/>
      <c r="B90" s="353"/>
      <c r="C90" s="869" t="str">
        <f>IF('Język - Language'!$B$30="Polski","W ramach promocji dodatkowej możliwa jest emisja zajawki w postaci linka tekstowego na Stronie Głównej portalu WP lub o2 w wybranym module tematycznym.","Optionally, you can purchase a textual link in a selected thematic category in the HP of WP or a native ad in the o2 HP.")</f>
        <v>W ramach promocji dodatkowej możliwa jest emisja zajawki w postaci linka tekstowego na Stronie Głównej portalu WP lub o2 w wybranym module tematycznym.</v>
      </c>
      <c r="D90" s="869"/>
      <c r="E90" s="869"/>
      <c r="F90" s="869"/>
      <c r="G90" s="869"/>
      <c r="H90" s="869"/>
      <c r="I90" s="869"/>
      <c r="J90" s="869"/>
      <c r="K90" s="869"/>
      <c r="L90" s="353"/>
      <c r="M90" s="353"/>
      <c r="N90" s="898"/>
    </row>
    <row r="91" spans="1:14">
      <c r="A91" s="353"/>
      <c r="B91" s="353"/>
      <c r="C91" s="419" t="str">
        <f>IF('Język - Language'!$B$30="Polski","Istnieje możliwość emisji video oraz brandingu w ramach artykułu sponsorowanego.","Addiotionally, you can add video or branding to the article. For price please contact the Advertising Office of WP.")</f>
        <v>Istnieje możliwość emisji video oraz brandingu w ramach artykułu sponsorowanego.</v>
      </c>
      <c r="D91" s="419"/>
      <c r="E91" s="496"/>
      <c r="F91" s="496"/>
      <c r="G91" s="496"/>
      <c r="H91" s="496"/>
      <c r="I91" s="496"/>
      <c r="J91" s="496"/>
      <c r="K91" s="419"/>
      <c r="L91" s="353"/>
      <c r="M91" s="353"/>
      <c r="N91" s="898"/>
    </row>
    <row r="92" spans="1:14" s="133" customFormat="1">
      <c r="A92" s="353"/>
      <c r="B92" s="353"/>
      <c r="C92" s="419"/>
      <c r="D92" s="419"/>
      <c r="E92" s="496"/>
      <c r="F92" s="496"/>
      <c r="G92" s="496"/>
      <c r="H92" s="496"/>
      <c r="I92" s="496"/>
      <c r="J92" s="496"/>
      <c r="K92" s="419"/>
      <c r="L92" s="353"/>
      <c r="M92" s="353"/>
      <c r="N92" s="898"/>
    </row>
    <row r="93" spans="1:14" s="133" customFormat="1">
      <c r="A93" s="353"/>
      <c r="B93" s="353"/>
      <c r="C93" s="225" t="str">
        <f>IF('Język - Language'!$B$30="Polski","ARTYKUŁ SPONSOROWANY - OPCJE DODATKOWE / DOPŁATY:","ADDITIONAL OPTIONS / EXTRA CHARGES:")</f>
        <v>ARTYKUŁ SPONSOROWANY - OPCJE DODATKOWE / DOPŁATY:</v>
      </c>
      <c r="D93" s="419"/>
      <c r="E93" s="496"/>
      <c r="F93" s="496"/>
      <c r="G93" s="496"/>
      <c r="H93" s="496"/>
      <c r="I93" s="496"/>
      <c r="J93" s="496"/>
      <c r="K93" s="419"/>
      <c r="L93" s="353"/>
      <c r="M93" s="353"/>
      <c r="N93" s="898"/>
    </row>
    <row r="94" spans="1:14" s="133" customFormat="1">
      <c r="A94" s="353"/>
      <c r="B94" s="353"/>
      <c r="C94" s="419" t="str">
        <f>IF('Język - Language'!$B$30="Polski","• Wydłużenie czasu emisji zajawki artykułu na sg wybranego serwisu: ","• Prolongation of emission time of the editorial preview in the HP of a site in which the article is placed:")</f>
        <v xml:space="preserve">• Wydłużenie czasu emisji zajawki artykułu na sg wybranego serwisu: </v>
      </c>
      <c r="D94" s="419"/>
      <c r="E94" s="496"/>
      <c r="F94" s="496"/>
      <c r="G94" s="496"/>
      <c r="H94" s="496"/>
      <c r="I94" s="496"/>
      <c r="J94" s="496"/>
      <c r="K94" s="419"/>
      <c r="L94" s="353"/>
      <c r="M94" s="353"/>
      <c r="N94" s="898"/>
    </row>
    <row r="95" spans="1:14" s="133" customFormat="1">
      <c r="A95" s="353"/>
      <c r="B95" s="353"/>
      <c r="C95" s="226" t="str">
        <f>IF('Język - Language'!$B$30="Polski","2 tyg.: cena + 70%","2 weeks: price + 70%")</f>
        <v>2 tyg.: cena + 70%</v>
      </c>
      <c r="D95" s="419"/>
      <c r="E95" s="496"/>
      <c r="F95" s="496"/>
      <c r="G95" s="496"/>
      <c r="H95" s="496"/>
      <c r="I95" s="496"/>
      <c r="J95" s="496"/>
      <c r="K95" s="419"/>
      <c r="L95" s="353"/>
      <c r="M95" s="353"/>
      <c r="N95" s="898"/>
    </row>
    <row r="96" spans="1:14" s="133" customFormat="1">
      <c r="A96" s="353"/>
      <c r="B96" s="353"/>
      <c r="C96" s="226" t="str">
        <f>IF('Język - Language'!$B$30="Polski","3 tyg.: cena + 150%","3 weeks: price + 150%")</f>
        <v>3 tyg.: cena + 150%</v>
      </c>
      <c r="D96" s="419"/>
      <c r="E96" s="496"/>
      <c r="F96" s="496"/>
      <c r="G96" s="496"/>
      <c r="H96" s="496"/>
      <c r="I96" s="496"/>
      <c r="J96" s="496"/>
      <c r="K96" s="419"/>
      <c r="L96" s="353"/>
      <c r="M96" s="353"/>
      <c r="N96" s="898"/>
    </row>
    <row r="97" spans="1:14" s="133" customFormat="1">
      <c r="A97" s="353"/>
      <c r="B97" s="353"/>
      <c r="C97" s="226" t="str">
        <f>IF('Język - Language'!$B$30="Polski","4 tyg.: cena + 200%","4 weeks: price + 200%")</f>
        <v>4 tyg.: cena + 200%</v>
      </c>
      <c r="D97" s="419"/>
      <c r="E97" s="496"/>
      <c r="F97" s="496"/>
      <c r="G97" s="496"/>
      <c r="H97" s="496"/>
      <c r="I97" s="496"/>
      <c r="J97" s="496"/>
      <c r="K97" s="419"/>
      <c r="L97" s="353"/>
      <c r="M97" s="353"/>
      <c r="N97" s="898"/>
    </row>
    <row r="98" spans="1:14" s="133" customFormat="1">
      <c r="A98" s="353"/>
      <c r="B98" s="353"/>
      <c r="C98" s="227" t="str">
        <f>IF('Język - Language'!$B$30="Polski","• Branding + 10% do ceny artykułu ","• Branding + 10% to the price of the article")</f>
        <v xml:space="preserve">• Branding + 10% do ceny artykułu </v>
      </c>
      <c r="D98" s="419"/>
      <c r="E98" s="496"/>
      <c r="F98" s="496"/>
      <c r="G98" s="496"/>
      <c r="H98" s="496"/>
      <c r="I98" s="496"/>
      <c r="J98" s="496"/>
      <c r="K98" s="419"/>
      <c r="L98" s="353"/>
      <c r="M98" s="353"/>
      <c r="N98" s="898"/>
    </row>
    <row r="99" spans="1:14" s="133" customFormat="1">
      <c r="A99" s="353"/>
      <c r="B99" s="353"/>
      <c r="C99" s="227" t="str">
        <f>IF('Język - Language'!$B$30="Polski","• Multimedia + 10% do ceny artykułu","• Multimedia + 10% to the price of the article")</f>
        <v>• Multimedia + 10% do ceny artykułu</v>
      </c>
      <c r="D99" s="419"/>
      <c r="E99" s="496"/>
      <c r="F99" s="496"/>
      <c r="G99" s="496"/>
      <c r="H99" s="496"/>
      <c r="I99" s="496"/>
      <c r="J99" s="496"/>
      <c r="K99" s="419"/>
      <c r="L99" s="353"/>
      <c r="M99" s="353"/>
      <c r="N99" s="898"/>
    </row>
    <row r="100" spans="1:14" s="133" customFormat="1">
      <c r="A100" s="353"/>
      <c r="B100" s="353"/>
      <c r="C100" s="227" t="str">
        <f>IF('Język - Language'!$B$30="Polski","• Link tekstowy do artykułu na SG WP:","• Textual link to the article in the HP of WP:")</f>
        <v>• Link tekstowy do artykułu na SG WP:</v>
      </c>
      <c r="D100" s="419"/>
      <c r="E100" s="496"/>
      <c r="F100" s="496"/>
      <c r="G100" s="496"/>
      <c r="H100" s="496"/>
      <c r="I100" s="496"/>
      <c r="J100" s="496"/>
      <c r="K100" s="419"/>
      <c r="L100" s="353"/>
      <c r="M100" s="353"/>
      <c r="N100" s="898"/>
    </row>
    <row r="101" spans="1:14" s="133" customFormat="1">
      <c r="A101" s="353"/>
      <c r="B101" s="353"/>
      <c r="C101" s="226" t="str">
        <f>IF('Język - Language'!$B$30="Polski","moduł Wiadomości 25 000 zł RC / dzień","category News 25 000 zł RC / day")</f>
        <v>moduł Wiadomości 25 000 zł RC / dzień</v>
      </c>
      <c r="D101" s="419"/>
      <c r="E101" s="496"/>
      <c r="F101" s="496"/>
      <c r="G101" s="496"/>
      <c r="H101" s="496"/>
      <c r="I101" s="496"/>
      <c r="J101" s="496"/>
      <c r="K101" s="419"/>
      <c r="L101" s="353"/>
      <c r="M101" s="353"/>
      <c r="N101" s="898"/>
    </row>
    <row r="102" spans="1:14" s="133" customFormat="1">
      <c r="A102" s="353"/>
      <c r="B102" s="353"/>
      <c r="C102" s="226" t="str">
        <f>IF('Język - Language'!$B$30="Polski","moduł Sport 20 000 zł RC / dzień","category News 20 000 zł RC / day")</f>
        <v>moduł Sport 20 000 zł RC / dzień</v>
      </c>
      <c r="D102" s="419"/>
      <c r="E102" s="496"/>
      <c r="F102" s="496"/>
      <c r="G102" s="496"/>
      <c r="H102" s="496"/>
      <c r="I102" s="496"/>
      <c r="J102" s="496"/>
      <c r="K102" s="419"/>
      <c r="L102" s="353"/>
      <c r="M102" s="353"/>
      <c r="N102" s="898"/>
    </row>
    <row r="103" spans="1:14" s="283" customFormat="1">
      <c r="A103" s="353"/>
      <c r="B103" s="353"/>
      <c r="C103" s="226" t="str">
        <f>IF('Język - Language'!$B$30="Polski","moduł Biznes 17 000 zł RC / dzień","category Business 17 000 zł RC / day")</f>
        <v>moduł Biznes 17 000 zł RC / dzień</v>
      </c>
      <c r="D103" s="419"/>
      <c r="E103" s="496"/>
      <c r="F103" s="496"/>
      <c r="G103" s="496"/>
      <c r="H103" s="496"/>
      <c r="I103" s="496"/>
      <c r="J103" s="496"/>
      <c r="K103" s="419"/>
      <c r="L103" s="353"/>
      <c r="M103" s="353"/>
      <c r="N103" s="898"/>
    </row>
    <row r="104" spans="1:14">
      <c r="A104" s="353"/>
      <c r="B104" s="353"/>
      <c r="C104" s="419"/>
      <c r="D104" s="419"/>
      <c r="E104" s="496"/>
      <c r="F104" s="496"/>
      <c r="G104" s="496"/>
      <c r="H104" s="496"/>
      <c r="I104" s="496"/>
      <c r="J104" s="496"/>
      <c r="K104" s="419"/>
      <c r="L104" s="353"/>
      <c r="M104" s="353"/>
      <c r="N104" s="898"/>
    </row>
    <row r="105" spans="1:14" s="133" customFormat="1">
      <c r="A105" s="353"/>
      <c r="B105" s="353"/>
      <c r="C105" s="228"/>
      <c r="D105" s="228"/>
      <c r="E105" s="496"/>
      <c r="F105" s="496"/>
      <c r="G105" s="496"/>
      <c r="H105" s="496"/>
      <c r="I105" s="496"/>
      <c r="J105" s="496"/>
      <c r="K105" s="419"/>
      <c r="L105" s="353"/>
      <c r="M105" s="353"/>
      <c r="N105" s="480"/>
    </row>
    <row r="106" spans="1:14" s="133" customFormat="1" ht="12.75" customHeight="1">
      <c r="A106" s="353"/>
      <c r="B106" s="341"/>
      <c r="C106" s="238"/>
      <c r="D106" s="484"/>
      <c r="E106" s="484"/>
      <c r="F106" s="484"/>
      <c r="G106" s="237"/>
      <c r="H106" s="237"/>
      <c r="I106" s="236"/>
      <c r="J106" s="236"/>
      <c r="K106" s="236"/>
      <c r="L106" s="353"/>
      <c r="M106" s="480"/>
      <c r="N106" s="353"/>
    </row>
    <row r="107" spans="1:14" s="133" customFormat="1">
      <c r="A107" s="353"/>
      <c r="B107" s="353"/>
      <c r="C107" s="228"/>
      <c r="D107" s="228"/>
      <c r="E107" s="496"/>
      <c r="F107" s="496"/>
      <c r="G107" s="496"/>
      <c r="H107" s="496"/>
      <c r="I107" s="496"/>
      <c r="J107" s="496"/>
      <c r="K107" s="419"/>
      <c r="L107" s="353"/>
      <c r="M107" s="353"/>
      <c r="N107" s="480"/>
    </row>
  </sheetData>
  <mergeCells count="148">
    <mergeCell ref="K47:N47"/>
    <mergeCell ref="K48:N54"/>
    <mergeCell ref="C46:N46"/>
    <mergeCell ref="B71:B74"/>
    <mergeCell ref="D52:F52"/>
    <mergeCell ref="D53:F53"/>
    <mergeCell ref="G72:H72"/>
    <mergeCell ref="G73:H73"/>
    <mergeCell ref="G74:H74"/>
    <mergeCell ref="I71:J71"/>
    <mergeCell ref="B11:B19"/>
    <mergeCell ref="D19:E19"/>
    <mergeCell ref="G11:H11"/>
    <mergeCell ref="G12:H12"/>
    <mergeCell ref="G13:H13"/>
    <mergeCell ref="D18:E18"/>
    <mergeCell ref="I13:J13"/>
    <mergeCell ref="G10:H10"/>
    <mergeCell ref="K10:L10"/>
    <mergeCell ref="K11:L18"/>
    <mergeCell ref="G15:H15"/>
    <mergeCell ref="G16:H16"/>
    <mergeCell ref="G17:H17"/>
    <mergeCell ref="G18:H18"/>
    <mergeCell ref="I15:J15"/>
    <mergeCell ref="I16:J16"/>
    <mergeCell ref="I17:J17"/>
    <mergeCell ref="I18:J18"/>
    <mergeCell ref="I19:J19"/>
    <mergeCell ref="K19:L19"/>
    <mergeCell ref="G19:H19"/>
    <mergeCell ref="I10:J10"/>
    <mergeCell ref="I11:J11"/>
    <mergeCell ref="I12:J12"/>
    <mergeCell ref="B79:B81"/>
    <mergeCell ref="D33:F33"/>
    <mergeCell ref="D27:F27"/>
    <mergeCell ref="B27:B38"/>
    <mergeCell ref="N87:N104"/>
    <mergeCell ref="D31:F31"/>
    <mergeCell ref="D48:F48"/>
    <mergeCell ref="D50:F50"/>
    <mergeCell ref="G78:H78"/>
    <mergeCell ref="D35:F35"/>
    <mergeCell ref="D30:F30"/>
    <mergeCell ref="I63:J63"/>
    <mergeCell ref="I64:J64"/>
    <mergeCell ref="I65:J65"/>
    <mergeCell ref="G47:J47"/>
    <mergeCell ref="G79:H79"/>
    <mergeCell ref="D78:F78"/>
    <mergeCell ref="D51:F51"/>
    <mergeCell ref="D49:F49"/>
    <mergeCell ref="C77:H77"/>
    <mergeCell ref="D47:F47"/>
    <mergeCell ref="C90:K90"/>
    <mergeCell ref="C65:D65"/>
    <mergeCell ref="D79:F81"/>
    <mergeCell ref="J1:P3"/>
    <mergeCell ref="B61:B65"/>
    <mergeCell ref="G25:P25"/>
    <mergeCell ref="D28:F28"/>
    <mergeCell ref="D36:F36"/>
    <mergeCell ref="D34:F34"/>
    <mergeCell ref="D32:F32"/>
    <mergeCell ref="D54:F54"/>
    <mergeCell ref="D38:F38"/>
    <mergeCell ref="O21:P22"/>
    <mergeCell ref="O23:P24"/>
    <mergeCell ref="I21:J21"/>
    <mergeCell ref="D7:E10"/>
    <mergeCell ref="M23:N24"/>
    <mergeCell ref="C7:C10"/>
    <mergeCell ref="G7:H7"/>
    <mergeCell ref="D11:E11"/>
    <mergeCell ref="D16:E16"/>
    <mergeCell ref="G14:H14"/>
    <mergeCell ref="D17:E17"/>
    <mergeCell ref="C21:C26"/>
    <mergeCell ref="C11:C19"/>
    <mergeCell ref="G9:N9"/>
    <mergeCell ref="G8:J8"/>
    <mergeCell ref="D12:E12"/>
    <mergeCell ref="D13:E13"/>
    <mergeCell ref="D14:E14"/>
    <mergeCell ref="D15:E15"/>
    <mergeCell ref="M19:N19"/>
    <mergeCell ref="I7:J7"/>
    <mergeCell ref="K8:N8"/>
    <mergeCell ref="K23:L24"/>
    <mergeCell ref="D37:F37"/>
    <mergeCell ref="G29:P29"/>
    <mergeCell ref="D29:F29"/>
    <mergeCell ref="M10:N10"/>
    <mergeCell ref="I14:J14"/>
    <mergeCell ref="I23:J23"/>
    <mergeCell ref="I24:J24"/>
    <mergeCell ref="M21:N22"/>
    <mergeCell ref="I22:J22"/>
    <mergeCell ref="F7:F10"/>
    <mergeCell ref="M11:N18"/>
    <mergeCell ref="K21:L22"/>
    <mergeCell ref="G23:H24"/>
    <mergeCell ref="G21:H22"/>
    <mergeCell ref="D21:F26"/>
    <mergeCell ref="C89:K89"/>
    <mergeCell ref="G80:H80"/>
    <mergeCell ref="C63:D63"/>
    <mergeCell ref="C64:D64"/>
    <mergeCell ref="C61:D61"/>
    <mergeCell ref="C59:C60"/>
    <mergeCell ref="E59:F59"/>
    <mergeCell ref="G59:J59"/>
    <mergeCell ref="G60:H60"/>
    <mergeCell ref="I60:J60"/>
    <mergeCell ref="G61:H61"/>
    <mergeCell ref="G62:H62"/>
    <mergeCell ref="G63:H63"/>
    <mergeCell ref="G64:H64"/>
    <mergeCell ref="D70:E70"/>
    <mergeCell ref="G70:H70"/>
    <mergeCell ref="I70:J70"/>
    <mergeCell ref="D71:E71"/>
    <mergeCell ref="D72:E72"/>
    <mergeCell ref="D73:E73"/>
    <mergeCell ref="D74:E74"/>
    <mergeCell ref="G71:H71"/>
    <mergeCell ref="C62:D62"/>
    <mergeCell ref="I61:J61"/>
    <mergeCell ref="I62:J62"/>
    <mergeCell ref="G48:J54"/>
    <mergeCell ref="D55:F55"/>
    <mergeCell ref="G55:J55"/>
    <mergeCell ref="K55:N55"/>
    <mergeCell ref="B48:B55"/>
    <mergeCell ref="C68:J68"/>
    <mergeCell ref="D69:F69"/>
    <mergeCell ref="G69:J69"/>
    <mergeCell ref="I72:J72"/>
    <mergeCell ref="I73:J73"/>
    <mergeCell ref="I74:J74"/>
    <mergeCell ref="C83:H83"/>
    <mergeCell ref="D84:F84"/>
    <mergeCell ref="G84:H84"/>
    <mergeCell ref="D85:F85"/>
    <mergeCell ref="G85:H85"/>
    <mergeCell ref="G65:H65"/>
    <mergeCell ref="G81:H81"/>
  </mergeCells>
  <pageMargins left="0.7" right="0.7" top="0.75" bottom="0.75" header="0.3" footer="0.3"/>
  <pageSetup paperSize="256" scale="55" fitToHeight="0" orientation="landscape" r:id="rId1"/>
  <ignoredErrors>
    <ignoredError sqref="H26:I26 J26:K26 L26:O26 G10 I10 K1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L108"/>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353" customWidth="1"/>
    <col min="2" max="2" width="2.85546875" style="2" customWidth="1"/>
    <col min="3" max="3" width="25.7109375" style="2" customWidth="1"/>
    <col min="4" max="4" width="35" style="2" customWidth="1"/>
    <col min="5" max="5" width="14.42578125" style="56" customWidth="1"/>
    <col min="6" max="6" width="9.42578125" style="2" customWidth="1"/>
    <col min="7" max="7" width="14.42578125" style="2" customWidth="1"/>
    <col min="8" max="9" width="14.42578125" style="52" customWidth="1"/>
    <col min="10" max="10" width="2.85546875" style="2" customWidth="1"/>
    <col min="11" max="12" width="18.5703125" style="2" customWidth="1"/>
    <col min="13" max="16384" width="15.42578125" style="2"/>
  </cols>
  <sheetData>
    <row r="1" spans="1:12" ht="12.75" customHeight="1">
      <c r="B1" s="353"/>
      <c r="C1" s="353"/>
      <c r="D1" s="353"/>
      <c r="E1" s="353"/>
      <c r="F1" s="355"/>
      <c r="G1" s="355"/>
      <c r="H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I1" s="523"/>
      <c r="J1" s="523"/>
      <c r="K1" s="523"/>
      <c r="L1" s="523"/>
    </row>
    <row r="2" spans="1:12" ht="12.75" customHeight="1">
      <c r="B2" s="353"/>
      <c r="C2" s="353"/>
      <c r="D2" s="433"/>
      <c r="E2" s="355"/>
      <c r="F2" s="355"/>
      <c r="G2" s="355"/>
      <c r="H2" s="523"/>
      <c r="I2" s="523"/>
      <c r="J2" s="523"/>
      <c r="K2" s="523"/>
      <c r="L2" s="523"/>
    </row>
    <row r="3" spans="1:12" ht="12.75" customHeight="1">
      <c r="B3" s="353"/>
      <c r="C3" s="353"/>
      <c r="D3" s="433"/>
      <c r="E3" s="355"/>
      <c r="F3" s="355"/>
      <c r="G3" s="355"/>
      <c r="H3" s="523"/>
      <c r="I3" s="523"/>
      <c r="J3" s="523"/>
      <c r="K3" s="523"/>
      <c r="L3" s="523"/>
    </row>
    <row r="4" spans="1:12" s="35" customFormat="1" ht="12.75" customHeight="1">
      <c r="A4" s="356"/>
      <c r="B4" s="356"/>
      <c r="C4" s="36" t="str">
        <f>IF('Język - Language'!$B$30="Polski","            Oferta Wideo","             Video")</f>
        <v xml:space="preserve">            Oferta Wideo</v>
      </c>
      <c r="D4" s="356"/>
      <c r="E4" s="356"/>
      <c r="F4" s="356"/>
      <c r="G4" s="356"/>
      <c r="H4" s="356"/>
      <c r="I4" s="356"/>
      <c r="J4" s="356"/>
      <c r="K4" s="356"/>
      <c r="L4" s="340" t="str">
        <f>IF('Język - Language'!$B$30="Polski","PL","EN")</f>
        <v>PL</v>
      </c>
    </row>
    <row r="5" spans="1:12" ht="12.75" customHeight="1">
      <c r="B5" s="353"/>
      <c r="C5" s="353"/>
      <c r="D5" s="353"/>
      <c r="E5" s="353"/>
      <c r="F5" s="353"/>
      <c r="G5" s="353"/>
      <c r="H5" s="353"/>
      <c r="I5" s="353"/>
      <c r="J5" s="353"/>
      <c r="K5" s="353"/>
      <c r="L5" s="353"/>
    </row>
    <row r="6" spans="1:12" s="97" customFormat="1" ht="12.75" customHeight="1">
      <c r="A6" s="353"/>
      <c r="B6" s="353"/>
      <c r="C6" s="353"/>
      <c r="D6" s="353"/>
      <c r="E6" s="353"/>
      <c r="F6" s="353"/>
      <c r="G6" s="353"/>
      <c r="H6" s="353"/>
      <c r="I6" s="353"/>
      <c r="J6" s="353"/>
      <c r="K6" s="353"/>
      <c r="L6" s="353"/>
    </row>
    <row r="7" spans="1:12" ht="25.5" customHeight="1">
      <c r="B7" s="341"/>
      <c r="C7" s="957" t="str">
        <f>IF('Język - Language'!$B$30="Polski","PAKIET","PACKAGE")</f>
        <v>PAKIET</v>
      </c>
      <c r="D7" s="970" t="str">
        <f>IF('Język - Language'!$B$30="Polski","MIEJSCE EMISJI","PLACE OF EMISSION")</f>
        <v>MIEJSCE EMISJI</v>
      </c>
      <c r="E7" s="286" t="str">
        <f>IF('Język - Language'!$B$30="Polski","Instream Audio Ad OPEN.FM","INSTREAM AUDIO AD OPEN.FM")</f>
        <v>Instream Audio Ad OPEN.FM</v>
      </c>
      <c r="F7" s="973" t="str">
        <f>IF('Język - Language'!$B$30="Polski","Instream Video Ad CPM, Instream Video SkipAd CPM","INSTREAM VIDEO AD CPM, PREROLL SKIPAD CPM")</f>
        <v>Instream Video Ad CPM, Instream Video SkipAd CPM</v>
      </c>
      <c r="G7" s="974"/>
      <c r="H7" s="960" t="str">
        <f>IF('Język - Language'!$B$30="Polski","DISPLAY","DISPLAY")</f>
        <v>DISPLAY</v>
      </c>
      <c r="I7" s="961"/>
      <c r="J7" s="419"/>
      <c r="K7" s="965" t="str">
        <f>IF('Język - Language'!$B$30="Polski","Instream Video Ad CPV (CENY NET NET)","PREROLL CPV (PRICES NET NET)")</f>
        <v>Instream Video Ad CPV (CENY NET NET)</v>
      </c>
      <c r="L7" s="966"/>
    </row>
    <row r="8" spans="1:12" s="283" customFormat="1" ht="25.5" customHeight="1">
      <c r="A8" s="353"/>
      <c r="B8" s="341"/>
      <c r="C8" s="958"/>
      <c r="D8" s="971"/>
      <c r="E8" s="973" t="s">
        <v>125</v>
      </c>
      <c r="F8" s="974"/>
      <c r="G8" s="974"/>
      <c r="H8" s="359"/>
      <c r="I8" s="488"/>
      <c r="J8" s="419"/>
      <c r="K8" s="965" t="s">
        <v>126</v>
      </c>
      <c r="L8" s="966"/>
    </row>
    <row r="9" spans="1:12" ht="25.5" customHeight="1">
      <c r="B9" s="341"/>
      <c r="C9" s="959"/>
      <c r="D9" s="972"/>
      <c r="E9" s="313" t="s">
        <v>127</v>
      </c>
      <c r="F9" s="314" t="s">
        <v>128</v>
      </c>
      <c r="G9" s="312" t="str">
        <f>IF('Język - Language'!$B$30="Polski",CONCATENATE("30",CHAR(34)," i dłuższy⁴"),CONCATENATE("30",CHAR(34)," or longer⁴"))</f>
        <v>30" i dłuższy⁴</v>
      </c>
      <c r="H9" s="312" t="str">
        <f>IF('Język - Language'!$B$30="Polski","BOTTOM LAYER","BOTTOM LAYER")</f>
        <v>BOTTOM LAYER</v>
      </c>
      <c r="I9" s="312" t="str">
        <f>IF('Język - Language'!$B$30="Polski","ADFRAME","ADFRAME")</f>
        <v>ADFRAME</v>
      </c>
      <c r="J9" s="419"/>
      <c r="K9" s="287" t="s">
        <v>128</v>
      </c>
      <c r="L9" s="288" t="s">
        <v>129</v>
      </c>
    </row>
    <row r="10" spans="1:12" ht="36" customHeight="1">
      <c r="B10" s="897" t="s">
        <v>110</v>
      </c>
      <c r="C10" s="385" t="s">
        <v>130</v>
      </c>
      <c r="D10" s="369" t="str">
        <f>IF('Język - Language'!$B$30="Polski","WPM Zasięg (bez stron głównych o2 i WP oraz bez serwisów pocztowych)","WPM Reach (without o2 HP, WP HP and e-mail services)")</f>
        <v>WPM Zasięg (bez stron głównych o2 i WP oraz bez serwisów pocztowych)</v>
      </c>
      <c r="E10" s="975" t="s">
        <v>94</v>
      </c>
      <c r="F10" s="373">
        <v>80</v>
      </c>
      <c r="G10" s="373">
        <v>120</v>
      </c>
      <c r="H10" s="373">
        <v>10</v>
      </c>
      <c r="I10" s="962" t="s">
        <v>131</v>
      </c>
      <c r="J10" s="419"/>
      <c r="K10" s="289">
        <v>0.05</v>
      </c>
      <c r="L10" s="289">
        <v>0.08</v>
      </c>
    </row>
    <row r="11" spans="1:12" s="353" customFormat="1" ht="36" customHeight="1">
      <c r="B11" s="897"/>
      <c r="C11" s="386" t="str">
        <f>IF('Język - Language'!$B$30="Polski","WYBRANY KANAŁ / SERWIS","SELECTED CHANNEL / SERVICE")</f>
        <v>WYBRANY KANAŁ / SERWIS</v>
      </c>
      <c r="D11" s="370"/>
      <c r="E11" s="976"/>
      <c r="F11" s="256">
        <v>130</v>
      </c>
      <c r="G11" s="256">
        <v>195</v>
      </c>
      <c r="H11" s="256">
        <v>16</v>
      </c>
      <c r="I11" s="962"/>
      <c r="J11" s="419"/>
      <c r="K11" s="289">
        <v>7.4999999999999997E-2</v>
      </c>
      <c r="L11" s="289">
        <v>0.12</v>
      </c>
    </row>
    <row r="12" spans="1:12" s="283" customFormat="1" ht="36" customHeight="1">
      <c r="A12" s="353"/>
      <c r="B12" s="897"/>
      <c r="C12" s="317" t="str">
        <f>IF('Język - Language'!$B$30="Polski","BIZNES","BUSINESS")</f>
        <v>BIZNES</v>
      </c>
      <c r="D12" s="478" t="str">
        <f>IF('Język - Language'!$B$30="Polski","WP Finanse, Portal Money.pl","WP Finanse, Money.pl + sites in the domain money.pl")</f>
        <v>WP Finanse, Portal Money.pl</v>
      </c>
      <c r="E12" s="976"/>
      <c r="F12" s="256">
        <v>120</v>
      </c>
      <c r="G12" s="256">
        <v>180</v>
      </c>
      <c r="H12" s="256">
        <v>15</v>
      </c>
      <c r="I12" s="962"/>
      <c r="J12" s="419"/>
      <c r="K12" s="375">
        <v>0.1</v>
      </c>
      <c r="L12" s="375">
        <v>0.16</v>
      </c>
    </row>
    <row r="13" spans="1:12" s="283" customFormat="1" ht="42" customHeight="1">
      <c r="A13" s="353"/>
      <c r="B13" s="897"/>
      <c r="C13" s="315" t="str">
        <f>IF('Język - Language'!$B$30="Polski","INFO I SPORT","INFO AND SPORT")</f>
        <v>INFO I SPORT</v>
      </c>
      <c r="D13" s="478" t="str">
        <f>IF('Język - Language'!$B$30="Polski","WPWiadomości, WP Opinie, WP Pogoda, WP SportoweFakty, Wawalove","WP Wiadomości, WP Opinie, WP Pogoda, WP Sportowefakty, Wawalove")</f>
        <v>WPWiadomości, WP Opinie, WP Pogoda, WP SportoweFakty, Wawalove</v>
      </c>
      <c r="E13" s="976"/>
      <c r="F13" s="256">
        <v>100</v>
      </c>
      <c r="G13" s="256">
        <v>150</v>
      </c>
      <c r="H13" s="255">
        <v>14</v>
      </c>
      <c r="I13" s="962"/>
      <c r="J13" s="419"/>
      <c r="K13" s="376">
        <v>6.5000000000000002E-2</v>
      </c>
      <c r="L13" s="376">
        <v>0.10400000000000001</v>
      </c>
    </row>
    <row r="14" spans="1:12" s="283" customFormat="1" ht="36" customHeight="1">
      <c r="A14" s="353"/>
      <c r="B14" s="897"/>
      <c r="C14" s="317" t="str">
        <f>IF('Język - Language'!$B$30="Polski","MOTORYZACJA","AUTOMOTIVE")</f>
        <v>MOTORYZACJA</v>
      </c>
      <c r="D14" s="478" t="str">
        <f>IF('Język - Language'!$B$30="Polski","WP Autokult, WP Moto","WP Autokult, WP Moto")</f>
        <v>WP Autokult, WP Moto</v>
      </c>
      <c r="E14" s="976"/>
      <c r="F14" s="256">
        <v>100</v>
      </c>
      <c r="G14" s="256">
        <v>150</v>
      </c>
      <c r="H14" s="255">
        <v>14</v>
      </c>
      <c r="I14" s="962"/>
      <c r="J14" s="419"/>
      <c r="K14" s="375">
        <v>6.5000000000000002E-2</v>
      </c>
      <c r="L14" s="375">
        <v>0.10400000000000001</v>
      </c>
    </row>
    <row r="15" spans="1:12" ht="42" customHeight="1">
      <c r="B15" s="897"/>
      <c r="C15" s="315" t="str">
        <f>IF('Język - Language'!$B$30="Polski","ROZRYWKA","FUN")</f>
        <v>ROZRYWKA</v>
      </c>
      <c r="D15" s="478" t="str">
        <f>IF('Język - Language'!$B$30="Polski","WP Film, WP Gwiazdy, WP Książki, WP Pilot, WP Program TV, WP Teleshow, WP Wideo, Pudelek, o2 serwisy, o2 warstwy, OpenFM","WP Film, WP Gwiazdy, WP Książki, WP Pilot, WP Program TV, WP Teleshow, WP Video, Pudelek, o2 pages, o2 layers, OpenFM")</f>
        <v>WP Film, WP Gwiazdy, WP Książki, WP Pilot, WP Program TV, WP Teleshow, WP Wideo, Pudelek, o2 serwisy, o2 warstwy, OpenFM</v>
      </c>
      <c r="E15" s="976"/>
      <c r="F15" s="256">
        <v>90</v>
      </c>
      <c r="G15" s="256">
        <v>135</v>
      </c>
      <c r="H15" s="255">
        <v>12</v>
      </c>
      <c r="I15" s="963"/>
      <c r="J15" s="419"/>
      <c r="K15" s="375">
        <v>5.5000000000000007E-2</v>
      </c>
      <c r="L15" s="375">
        <v>8.8000000000000023E-2</v>
      </c>
    </row>
    <row r="16" spans="1:12" ht="36" customHeight="1">
      <c r="B16" s="897"/>
      <c r="C16" s="317" t="str">
        <f>IF('Język - Language'!$B$30="Polski","STYL ŻYCIA","LIFESTYLE")</f>
        <v>STYL ŻYCIA</v>
      </c>
      <c r="D16" s="478" t="str">
        <f>IF('Język - Language'!$B$30="Polski","WP Facet, WP Kobieta, Kafeteria.pl, WP Kuchnia, WP Turystyka","WP Facet, WP Kobieta, Kafeteria.pl, WP Kuchnia, WP Turystyka")</f>
        <v>WP Facet, WP Kobieta, Kafeteria.pl, WP Kuchnia, WP Turystyka</v>
      </c>
      <c r="E16" s="976"/>
      <c r="F16" s="256">
        <v>100</v>
      </c>
      <c r="G16" s="256">
        <v>150</v>
      </c>
      <c r="H16" s="255">
        <v>14</v>
      </c>
      <c r="I16" s="964"/>
      <c r="J16" s="419"/>
      <c r="K16" s="375">
        <v>6.5000000000000002E-2</v>
      </c>
      <c r="L16" s="375">
        <v>0.10400000000000001</v>
      </c>
    </row>
    <row r="17" spans="1:12" ht="42" customHeight="1">
      <c r="B17" s="897"/>
      <c r="C17" s="317" t="str">
        <f>IF('Język - Language'!$B$30="Polski","TECHNOLOGIA","TECHNOLOGY")</f>
        <v>TECHNOLOGIA</v>
      </c>
      <c r="D17" s="478" t="str">
        <f>IF('Język - Language'!$B$30="Polski","WP Tech, WP Gry, WP Fotoblogia, WP Gadżetomania, WP Komórkomania, dobreprogramy.pl","WP Tech, WP Gry, WP Fotoblogia, WP Gadżetomania, WP Komórkomania, dobreprogramy.pl")</f>
        <v>WP Tech, WP Gry, WP Fotoblogia, WP Gadżetomania, WP Komórkomania, dobreprogramy.pl</v>
      </c>
      <c r="E17" s="976"/>
      <c r="F17" s="367">
        <v>100</v>
      </c>
      <c r="G17" s="367">
        <v>150</v>
      </c>
      <c r="H17" s="255">
        <v>14</v>
      </c>
      <c r="I17" s="374" t="s">
        <v>94</v>
      </c>
      <c r="J17" s="419"/>
      <c r="K17" s="375">
        <v>6.5000000000000002E-2</v>
      </c>
      <c r="L17" s="375">
        <v>0.10400000000000001</v>
      </c>
    </row>
    <row r="18" spans="1:12" s="50" customFormat="1" ht="36" customHeight="1">
      <c r="A18" s="353"/>
      <c r="B18" s="897"/>
      <c r="C18" s="317" t="str">
        <f>IF('Język - Language'!$B$30="Polski","ZDROWIE I PARENTING","HEALTH AND PARENTING")</f>
        <v>ZDROWIE I PARENTING</v>
      </c>
      <c r="D18" s="478" t="str">
        <f>IF('Język - Language'!$B$30="Polski","WP abcZdrowie, WP Fitness, WP Jejswiat, WP Parenting, Medycyna24, Nerwica.com","WP abcZdrowie, WP Fitness, WP Jejswiat, WP Parenting, Medycyna24, Nerwica.com")</f>
        <v>WP abcZdrowie, WP Fitness, WP Jejswiat, WP Parenting, Medycyna24, Nerwica.com</v>
      </c>
      <c r="E18" s="977"/>
      <c r="F18" s="256">
        <v>180</v>
      </c>
      <c r="G18" s="256">
        <v>240</v>
      </c>
      <c r="H18" s="255">
        <v>17</v>
      </c>
      <c r="I18" s="962" t="s">
        <v>131</v>
      </c>
      <c r="J18" s="419"/>
      <c r="K18" s="375">
        <v>0.1</v>
      </c>
      <c r="L18" s="375">
        <v>0.16000000000000003</v>
      </c>
    </row>
    <row r="19" spans="1:12" s="353" customFormat="1" ht="36" customHeight="1">
      <c r="B19" s="897"/>
      <c r="C19" s="317" t="str">
        <f>IF('Język - Language'!$B$30="Polski","WIDEO I AUDIO","VIDEO AND AUDIO")</f>
        <v>WIDEO I AUDIO</v>
      </c>
      <c r="D19" s="478" t="str">
        <f>IF('Język - Language'!$B$30="Polski","WP Pilot, WP Wideo, OpenFM","WP Pilot, WP Wideo, OpenFM")</f>
        <v>WP Pilot, WP Wideo, OpenFM</v>
      </c>
      <c r="E19" s="372" t="s">
        <v>132</v>
      </c>
      <c r="F19" s="256">
        <v>120</v>
      </c>
      <c r="G19" s="256">
        <v>180</v>
      </c>
      <c r="H19" s="367">
        <v>15</v>
      </c>
      <c r="I19" s="963"/>
      <c r="J19" s="419"/>
      <c r="K19" s="375">
        <v>0.1</v>
      </c>
      <c r="L19" s="375">
        <v>0.16</v>
      </c>
    </row>
    <row r="20" spans="1:12" ht="36" customHeight="1">
      <c r="B20" s="897"/>
      <c r="C20" s="317" t="s">
        <v>133</v>
      </c>
      <c r="D20" s="371"/>
      <c r="E20" s="489" t="s">
        <v>94</v>
      </c>
      <c r="F20" s="255">
        <v>110</v>
      </c>
      <c r="G20" s="255">
        <v>165</v>
      </c>
      <c r="H20" s="256">
        <v>15</v>
      </c>
      <c r="I20" s="964"/>
      <c r="J20" s="419"/>
      <c r="K20" s="289">
        <v>7.4999999999999997E-2</v>
      </c>
      <c r="L20" s="289">
        <v>0.12</v>
      </c>
    </row>
    <row r="21" spans="1:12" s="54" customFormat="1" ht="36" customHeight="1">
      <c r="A21" s="353"/>
      <c r="B21" s="897"/>
      <c r="C21" s="316" t="str">
        <f>IF('Język - Language'!$B$30="Polski","OutStream²","OutStream²")</f>
        <v>OutStream²</v>
      </c>
      <c r="D21" s="439" t="str">
        <f>IF('Język - Language'!$B$30="Polski","WP Wiadomości, WP Finanse, WP Kobieta, WP Kuchnia, Kafeteria, WP SportoweFakty, WP Facet","WP Wiadomości, WP Finanse, WP Kobieta, WP Kuchnia, Kafeteria, WP SportoweFakty, WP Facet")</f>
        <v>WP Wiadomości, WP Finanse, WP Kobieta, WP Kuchnia, Kafeteria, WP SportoweFakty, WP Facet</v>
      </c>
      <c r="E21" s="967">
        <v>110</v>
      </c>
      <c r="F21" s="968"/>
      <c r="G21" s="968"/>
      <c r="H21" s="968"/>
      <c r="I21" s="969"/>
      <c r="J21" s="419"/>
      <c r="K21" s="419"/>
      <c r="L21" s="419"/>
    </row>
    <row r="22" spans="1:12" s="48" customFormat="1" ht="12.75" customHeight="1">
      <c r="A22" s="353"/>
      <c r="B22" s="341"/>
      <c r="C22" s="291" t="str">
        <f>IF('Język - Language'!$B$30="Polski","¹ emisja spotu z tapetą 150%","¹ emission of preroll with watermark 150%")</f>
        <v>¹ emisja spotu z tapetą 150%</v>
      </c>
      <c r="D22" s="291"/>
      <c r="E22" s="290"/>
      <c r="F22" s="290"/>
      <c r="G22" s="290"/>
      <c r="H22" s="419"/>
      <c r="I22" s="419"/>
      <c r="J22" s="419"/>
      <c r="K22" s="419"/>
      <c r="L22" s="419"/>
    </row>
    <row r="23" spans="1:12">
      <c r="B23" s="353"/>
      <c r="C23" s="292" t="str">
        <f>IF('Język - Language'!$B$30="Polski","² OutStream - dotyczy emisji tylko na wybranych serwisach, niedostępny dla modelu SkipAd","² OutStream - available only in selected sites, not avaible for SkipAd")</f>
        <v>² OutStream - dotyczy emisji tylko na wybranych serwisach, niedostępny dla modelu SkipAd</v>
      </c>
      <c r="D23" s="293"/>
      <c r="E23" s="290"/>
      <c r="F23" s="290"/>
      <c r="G23" s="290"/>
      <c r="H23" s="419"/>
      <c r="I23" s="419"/>
      <c r="J23" s="419"/>
      <c r="K23" s="419"/>
      <c r="L23" s="419"/>
    </row>
    <row r="24" spans="1:12">
      <c r="B24" s="353"/>
      <c r="C24" s="419" t="str">
        <f>IF('Język - Language'!$B$30="Polski","³ +20% za emisję video z kodów emisyjnych","³ +20% za emisję video z kodów emisyjnych")</f>
        <v>³ +20% za emisję video z kodów emisyjnych</v>
      </c>
      <c r="D24" s="1"/>
      <c r="E24" s="353"/>
      <c r="F24" s="353"/>
      <c r="G24" s="353"/>
      <c r="H24" s="353"/>
      <c r="I24" s="353"/>
      <c r="J24" s="419"/>
      <c r="K24" s="353"/>
      <c r="L24" s="353"/>
    </row>
    <row r="25" spans="1:12">
      <c r="B25" s="353"/>
      <c r="C25" s="419" t="str">
        <f>IF('Język - Language'!$B$30="Polski",CONCATENATE("⁴ InStream Video 30",CHAR(34),"+ tylko w modelu SkipAd"),CONCATENATE("⁴ InStream Video 30",CHAR(34),"+ only for SkipAd"))</f>
        <v>⁴ InStream Video 30"+ tylko w modelu SkipAd</v>
      </c>
      <c r="D25" s="353"/>
      <c r="E25" s="353"/>
      <c r="F25" s="353"/>
      <c r="G25" s="353"/>
      <c r="H25" s="353"/>
      <c r="I25" s="353"/>
      <c r="J25" s="353"/>
      <c r="K25" s="353"/>
      <c r="L25" s="353"/>
    </row>
    <row r="26" spans="1:12">
      <c r="B26" s="353"/>
      <c r="C26" s="353"/>
      <c r="D26" s="353"/>
      <c r="E26" s="353"/>
      <c r="F26" s="353"/>
      <c r="G26" s="353"/>
      <c r="H26" s="353"/>
      <c r="I26" s="353"/>
      <c r="J26" s="353"/>
      <c r="K26" s="353"/>
      <c r="L26" s="353"/>
    </row>
    <row r="27" spans="1:12">
      <c r="B27" s="353"/>
      <c r="C27" s="353"/>
      <c r="D27" s="353"/>
      <c r="E27" s="353"/>
      <c r="F27" s="353"/>
      <c r="G27" s="353"/>
      <c r="H27" s="353"/>
      <c r="I27" s="353"/>
      <c r="J27" s="353"/>
      <c r="K27" s="353"/>
      <c r="L27" s="353"/>
    </row>
    <row r="28" spans="1:12">
      <c r="B28" s="353"/>
      <c r="C28" s="353"/>
      <c r="D28" s="353"/>
      <c r="E28" s="353"/>
      <c r="F28" s="353"/>
      <c r="G28" s="353"/>
      <c r="H28" s="353"/>
      <c r="I28" s="353"/>
      <c r="J28" s="353"/>
      <c r="K28" s="353"/>
      <c r="L28" s="353"/>
    </row>
    <row r="29" spans="1:12">
      <c r="B29" s="353"/>
      <c r="C29" s="353"/>
      <c r="D29" s="353"/>
      <c r="E29" s="353"/>
      <c r="F29" s="353"/>
      <c r="G29" s="353"/>
      <c r="H29" s="353"/>
      <c r="I29" s="353"/>
      <c r="J29" s="353"/>
      <c r="K29" s="353"/>
      <c r="L29" s="353"/>
    </row>
    <row r="30" spans="1:12">
      <c r="B30" s="353"/>
      <c r="C30" s="353"/>
      <c r="D30" s="353"/>
      <c r="E30" s="353"/>
      <c r="F30" s="353"/>
      <c r="G30" s="353"/>
      <c r="H30" s="353"/>
      <c r="I30" s="353"/>
      <c r="J30" s="353"/>
      <c r="K30" s="353"/>
      <c r="L30" s="353"/>
    </row>
    <row r="31" spans="1:12">
      <c r="B31" s="353"/>
      <c r="C31" s="353"/>
      <c r="D31" s="353"/>
      <c r="E31" s="353"/>
      <c r="F31" s="353"/>
      <c r="G31" s="353"/>
      <c r="H31" s="353"/>
      <c r="I31" s="353"/>
      <c r="J31" s="353"/>
      <c r="K31" s="353"/>
      <c r="L31" s="353"/>
    </row>
    <row r="32" spans="1:12">
      <c r="B32" s="353"/>
      <c r="C32" s="353"/>
      <c r="D32" s="353"/>
      <c r="E32" s="353"/>
      <c r="F32" s="353"/>
      <c r="G32" s="353"/>
      <c r="H32" s="353"/>
      <c r="I32" s="353"/>
      <c r="J32" s="353"/>
      <c r="K32" s="353"/>
      <c r="L32" s="353"/>
    </row>
    <row r="33" spans="3:9">
      <c r="C33" s="353"/>
      <c r="D33" s="353"/>
      <c r="E33" s="353"/>
      <c r="F33" s="353"/>
      <c r="G33" s="353"/>
      <c r="H33" s="353"/>
      <c r="I33" s="353"/>
    </row>
    <row r="34" spans="3:9">
      <c r="C34" s="353"/>
      <c r="D34" s="353"/>
      <c r="E34" s="353"/>
      <c r="F34" s="353"/>
      <c r="G34" s="353"/>
      <c r="H34" s="353"/>
      <c r="I34" s="353"/>
    </row>
    <row r="35" spans="3:9">
      <c r="C35" s="353"/>
      <c r="D35" s="353"/>
      <c r="E35" s="353"/>
      <c r="F35" s="353"/>
      <c r="G35" s="353"/>
      <c r="H35" s="353"/>
      <c r="I35" s="353"/>
    </row>
    <row r="36" spans="3:9">
      <c r="C36" s="353"/>
      <c r="D36" s="353"/>
      <c r="E36" s="353"/>
      <c r="F36" s="353"/>
      <c r="G36" s="353"/>
      <c r="H36" s="353"/>
      <c r="I36" s="353"/>
    </row>
    <row r="37" spans="3:9">
      <c r="C37" s="353"/>
      <c r="D37" s="353"/>
      <c r="E37" s="353"/>
      <c r="F37" s="353"/>
      <c r="G37" s="353"/>
      <c r="H37" s="353"/>
      <c r="I37" s="353"/>
    </row>
    <row r="38" spans="3:9">
      <c r="C38" s="353"/>
      <c r="D38" s="353"/>
      <c r="E38" s="353"/>
      <c r="F38" s="353"/>
      <c r="G38" s="353"/>
      <c r="H38" s="353"/>
      <c r="I38" s="353"/>
    </row>
    <row r="39" spans="3:9">
      <c r="C39" s="353"/>
      <c r="D39" s="353"/>
      <c r="E39" s="353"/>
      <c r="F39" s="353"/>
      <c r="G39" s="353"/>
      <c r="H39" s="353"/>
      <c r="I39" s="353"/>
    </row>
    <row r="40" spans="3:9">
      <c r="C40" s="353"/>
      <c r="D40" s="353"/>
      <c r="E40" s="353"/>
      <c r="F40" s="353"/>
      <c r="G40" s="353"/>
      <c r="H40" s="353"/>
      <c r="I40" s="353"/>
    </row>
    <row r="41" spans="3:9">
      <c r="C41" s="353"/>
      <c r="D41" s="353"/>
      <c r="E41" s="353"/>
      <c r="F41" s="353"/>
      <c r="G41" s="353"/>
      <c r="H41" s="353"/>
      <c r="I41" s="353"/>
    </row>
    <row r="42" spans="3:9">
      <c r="C42" s="353"/>
      <c r="D42" s="353"/>
      <c r="E42" s="353"/>
      <c r="F42" s="353"/>
      <c r="G42" s="353"/>
      <c r="H42" s="353"/>
      <c r="I42" s="353"/>
    </row>
    <row r="43" spans="3:9">
      <c r="C43" s="353"/>
      <c r="D43" s="353"/>
      <c r="E43" s="353"/>
      <c r="F43" s="353"/>
      <c r="G43" s="353"/>
      <c r="H43" s="353"/>
      <c r="I43" s="353"/>
    </row>
    <row r="44" spans="3:9">
      <c r="C44" s="353"/>
      <c r="D44" s="353"/>
      <c r="E44" s="353"/>
      <c r="F44" s="353"/>
      <c r="G44" s="353"/>
      <c r="H44" s="353"/>
      <c r="I44" s="353"/>
    </row>
    <row r="45" spans="3:9">
      <c r="C45" s="353"/>
      <c r="D45" s="353"/>
      <c r="E45" s="353"/>
      <c r="F45" s="353"/>
      <c r="G45" s="353"/>
      <c r="H45" s="353"/>
      <c r="I45" s="353"/>
    </row>
    <row r="46" spans="3:9">
      <c r="C46" s="353"/>
      <c r="D46" s="353"/>
      <c r="E46" s="353"/>
      <c r="F46" s="353"/>
      <c r="G46" s="353"/>
      <c r="H46" s="353"/>
      <c r="I46" s="353"/>
    </row>
    <row r="47" spans="3:9">
      <c r="C47" s="353"/>
      <c r="D47" s="353"/>
      <c r="E47" s="353"/>
      <c r="F47" s="353"/>
      <c r="G47" s="353"/>
      <c r="H47" s="353"/>
      <c r="I47" s="353"/>
    </row>
    <row r="48" spans="3:9">
      <c r="C48" s="353"/>
      <c r="D48" s="353"/>
      <c r="E48" s="353"/>
      <c r="F48" s="353"/>
      <c r="G48" s="353"/>
      <c r="H48" s="353"/>
      <c r="I48" s="353"/>
    </row>
    <row r="49" spans="3:9">
      <c r="C49" s="353"/>
      <c r="D49" s="353"/>
      <c r="E49" s="353"/>
      <c r="F49" s="353"/>
      <c r="G49" s="353"/>
      <c r="H49" s="353"/>
      <c r="I49" s="353"/>
    </row>
    <row r="50" spans="3:9">
      <c r="C50" s="353"/>
      <c r="D50" s="353"/>
      <c r="E50" s="353"/>
      <c r="F50" s="353"/>
      <c r="G50" s="353"/>
      <c r="H50" s="353"/>
      <c r="I50" s="353"/>
    </row>
    <row r="51" spans="3:9">
      <c r="C51" s="353"/>
      <c r="D51" s="353"/>
      <c r="E51" s="353"/>
      <c r="F51" s="353"/>
      <c r="G51" s="353"/>
      <c r="H51" s="353"/>
      <c r="I51" s="353"/>
    </row>
    <row r="52" spans="3:9">
      <c r="C52" s="353"/>
      <c r="D52" s="353"/>
      <c r="E52" s="353"/>
      <c r="F52" s="353"/>
      <c r="G52" s="353"/>
      <c r="H52" s="353"/>
      <c r="I52" s="353"/>
    </row>
    <row r="53" spans="3:9">
      <c r="C53" s="353"/>
      <c r="D53" s="353"/>
      <c r="E53" s="353"/>
      <c r="F53" s="353"/>
      <c r="G53" s="353"/>
      <c r="H53" s="353"/>
      <c r="I53" s="353"/>
    </row>
    <row r="54" spans="3:9">
      <c r="C54" s="353"/>
      <c r="D54" s="353"/>
      <c r="E54" s="353"/>
      <c r="F54" s="353"/>
      <c r="G54" s="353"/>
      <c r="H54" s="353"/>
      <c r="I54" s="353"/>
    </row>
    <row r="55" spans="3:9">
      <c r="C55" s="353"/>
      <c r="D55" s="353"/>
      <c r="E55" s="353"/>
      <c r="F55" s="353"/>
      <c r="G55" s="353"/>
      <c r="H55" s="353"/>
      <c r="I55" s="353"/>
    </row>
    <row r="56" spans="3:9">
      <c r="C56" s="353"/>
      <c r="D56" s="353"/>
      <c r="E56" s="353"/>
      <c r="F56" s="353"/>
      <c r="G56" s="353"/>
      <c r="H56" s="353"/>
      <c r="I56" s="353"/>
    </row>
    <row r="57" spans="3:9">
      <c r="C57" s="353"/>
      <c r="D57" s="353"/>
      <c r="E57" s="353"/>
      <c r="F57" s="353"/>
      <c r="G57" s="353"/>
      <c r="H57" s="353"/>
      <c r="I57" s="353"/>
    </row>
    <row r="58" spans="3:9">
      <c r="C58" s="353"/>
      <c r="D58" s="353"/>
      <c r="E58" s="353"/>
      <c r="F58" s="353"/>
      <c r="G58" s="353"/>
      <c r="H58" s="353"/>
      <c r="I58" s="353"/>
    </row>
    <row r="59" spans="3:9">
      <c r="C59" s="353"/>
      <c r="D59" s="353"/>
      <c r="E59" s="353"/>
      <c r="F59" s="353"/>
      <c r="G59" s="353"/>
      <c r="H59" s="353"/>
      <c r="I59" s="353"/>
    </row>
    <row r="60" spans="3:9">
      <c r="C60" s="353"/>
      <c r="D60" s="353"/>
      <c r="E60" s="353"/>
      <c r="F60" s="353"/>
      <c r="G60" s="353"/>
      <c r="H60" s="353"/>
      <c r="I60" s="353"/>
    </row>
    <row r="61" spans="3:9">
      <c r="C61" s="353"/>
      <c r="D61" s="353"/>
      <c r="E61" s="353"/>
      <c r="F61" s="353"/>
      <c r="G61" s="353"/>
      <c r="H61" s="353"/>
      <c r="I61" s="353"/>
    </row>
    <row r="62" spans="3:9">
      <c r="C62" s="353"/>
      <c r="D62" s="353"/>
      <c r="E62" s="353"/>
      <c r="F62" s="353"/>
      <c r="G62" s="353"/>
      <c r="H62" s="353"/>
      <c r="I62" s="353"/>
    </row>
    <row r="63" spans="3:9">
      <c r="C63" s="353"/>
      <c r="D63" s="353"/>
      <c r="E63" s="353"/>
      <c r="F63" s="353"/>
      <c r="G63" s="353"/>
      <c r="H63" s="353"/>
      <c r="I63" s="353"/>
    </row>
    <row r="64" spans="3:9">
      <c r="C64" s="353"/>
      <c r="D64" s="353"/>
      <c r="E64" s="353"/>
      <c r="F64" s="353"/>
      <c r="G64" s="353"/>
      <c r="H64" s="353"/>
      <c r="I64" s="353"/>
    </row>
    <row r="65" spans="3:9">
      <c r="C65" s="353"/>
      <c r="D65" s="353"/>
      <c r="E65" s="353"/>
      <c r="F65" s="353"/>
      <c r="G65" s="353"/>
      <c r="H65" s="353"/>
      <c r="I65" s="353"/>
    </row>
    <row r="66" spans="3:9">
      <c r="C66" s="353"/>
      <c r="D66" s="353"/>
      <c r="E66" s="353"/>
      <c r="F66" s="353"/>
      <c r="G66" s="353"/>
      <c r="H66" s="353"/>
      <c r="I66" s="353"/>
    </row>
    <row r="67" spans="3:9">
      <c r="C67" s="353"/>
      <c r="D67" s="353"/>
      <c r="E67" s="353"/>
      <c r="F67" s="353"/>
      <c r="G67" s="353"/>
      <c r="H67" s="353"/>
      <c r="I67" s="353"/>
    </row>
    <row r="68" spans="3:9">
      <c r="C68" s="353"/>
      <c r="D68" s="353"/>
      <c r="E68" s="353"/>
      <c r="F68" s="353"/>
      <c r="G68" s="353"/>
      <c r="H68" s="353"/>
      <c r="I68" s="353"/>
    </row>
    <row r="69" spans="3:9">
      <c r="C69" s="353"/>
      <c r="D69" s="353"/>
      <c r="E69" s="353"/>
      <c r="F69" s="353"/>
      <c r="G69" s="353"/>
      <c r="H69" s="353"/>
      <c r="I69" s="353"/>
    </row>
    <row r="70" spans="3:9">
      <c r="C70" s="353"/>
      <c r="D70" s="353"/>
      <c r="E70" s="353"/>
      <c r="F70" s="353"/>
      <c r="G70" s="353"/>
      <c r="H70" s="353"/>
      <c r="I70" s="353"/>
    </row>
    <row r="71" spans="3:9">
      <c r="C71" s="353"/>
      <c r="D71" s="353"/>
      <c r="E71" s="353"/>
      <c r="F71" s="353"/>
      <c r="G71" s="353"/>
      <c r="H71" s="353"/>
      <c r="I71" s="353"/>
    </row>
    <row r="72" spans="3:9">
      <c r="C72" s="353"/>
      <c r="D72" s="353"/>
      <c r="E72" s="353"/>
      <c r="F72" s="353"/>
      <c r="G72" s="353"/>
      <c r="H72" s="353"/>
      <c r="I72" s="353"/>
    </row>
    <row r="73" spans="3:9">
      <c r="C73" s="353"/>
      <c r="D73" s="353"/>
      <c r="E73" s="353"/>
      <c r="F73" s="353"/>
      <c r="G73" s="353"/>
      <c r="H73" s="353"/>
      <c r="I73" s="353"/>
    </row>
    <row r="74" spans="3:9">
      <c r="C74" s="353"/>
      <c r="D74" s="353"/>
      <c r="E74" s="353"/>
      <c r="F74" s="353"/>
      <c r="G74" s="353"/>
      <c r="H74" s="353"/>
      <c r="I74" s="353"/>
    </row>
    <row r="75" spans="3:9">
      <c r="C75" s="353"/>
      <c r="D75" s="353"/>
      <c r="E75" s="353"/>
      <c r="F75" s="353"/>
      <c r="G75" s="353"/>
      <c r="H75" s="353"/>
      <c r="I75" s="353"/>
    </row>
    <row r="76" spans="3:9">
      <c r="C76" s="353"/>
      <c r="D76" s="353"/>
      <c r="E76" s="353"/>
      <c r="F76" s="353"/>
      <c r="G76" s="353"/>
      <c r="H76" s="353"/>
      <c r="I76" s="353"/>
    </row>
    <row r="77" spans="3:9">
      <c r="C77" s="353"/>
      <c r="D77" s="353"/>
      <c r="E77" s="353"/>
      <c r="F77" s="353"/>
      <c r="G77" s="353"/>
      <c r="H77" s="353"/>
      <c r="I77" s="353"/>
    </row>
    <row r="78" spans="3:9">
      <c r="C78" s="353"/>
      <c r="D78" s="353"/>
      <c r="E78" s="353"/>
      <c r="F78" s="353"/>
      <c r="G78" s="353"/>
      <c r="H78" s="353"/>
      <c r="I78" s="353"/>
    </row>
    <row r="79" spans="3:9">
      <c r="C79" s="353"/>
      <c r="D79" s="353"/>
      <c r="E79" s="353"/>
      <c r="F79" s="353"/>
      <c r="G79" s="353"/>
      <c r="H79" s="353"/>
      <c r="I79" s="353"/>
    </row>
    <row r="80" spans="3:9">
      <c r="C80" s="353"/>
      <c r="D80" s="353"/>
      <c r="E80" s="353"/>
      <c r="F80" s="353"/>
      <c r="G80" s="353"/>
      <c r="H80" s="353"/>
      <c r="I80" s="353"/>
    </row>
    <row r="81" spans="3:9">
      <c r="C81" s="353"/>
      <c r="D81" s="353"/>
      <c r="E81" s="353"/>
      <c r="F81" s="353"/>
      <c r="G81" s="353"/>
      <c r="H81" s="353"/>
      <c r="I81" s="353"/>
    </row>
    <row r="82" spans="3:9">
      <c r="C82" s="353"/>
      <c r="D82" s="353"/>
      <c r="E82" s="353"/>
      <c r="F82" s="353"/>
      <c r="G82" s="353"/>
      <c r="H82" s="353"/>
      <c r="I82" s="353"/>
    </row>
    <row r="83" spans="3:9">
      <c r="C83" s="353"/>
      <c r="D83" s="353"/>
      <c r="E83" s="353"/>
      <c r="F83" s="353"/>
      <c r="G83" s="353"/>
      <c r="H83" s="353"/>
      <c r="I83" s="353"/>
    </row>
    <row r="84" spans="3:9">
      <c r="C84" s="353"/>
      <c r="D84" s="353"/>
      <c r="E84" s="353"/>
      <c r="F84" s="353"/>
      <c r="G84" s="353"/>
      <c r="H84" s="353"/>
      <c r="I84" s="353"/>
    </row>
    <row r="85" spans="3:9">
      <c r="C85" s="353"/>
      <c r="D85" s="353"/>
      <c r="E85" s="353"/>
      <c r="F85" s="353"/>
      <c r="G85" s="353"/>
      <c r="H85" s="353"/>
      <c r="I85" s="353"/>
    </row>
    <row r="86" spans="3:9">
      <c r="C86" s="353"/>
      <c r="D86" s="353"/>
      <c r="E86" s="353"/>
      <c r="F86" s="353"/>
      <c r="G86" s="353"/>
      <c r="H86" s="353"/>
      <c r="I86" s="353"/>
    </row>
    <row r="87" spans="3:9">
      <c r="C87" s="353"/>
      <c r="D87" s="353"/>
      <c r="E87" s="353"/>
      <c r="F87" s="353"/>
      <c r="G87" s="353"/>
      <c r="H87" s="353"/>
      <c r="I87" s="353"/>
    </row>
    <row r="88" spans="3:9">
      <c r="C88" s="353"/>
      <c r="D88" s="353"/>
      <c r="E88" s="353"/>
      <c r="F88" s="353"/>
      <c r="G88" s="353"/>
      <c r="H88" s="353"/>
      <c r="I88" s="353"/>
    </row>
    <row r="89" spans="3:9">
      <c r="C89" s="353"/>
      <c r="D89" s="353"/>
      <c r="E89" s="353"/>
      <c r="F89" s="353"/>
      <c r="G89" s="353"/>
      <c r="H89" s="353"/>
      <c r="I89" s="353"/>
    </row>
    <row r="90" spans="3:9">
      <c r="C90" s="353"/>
      <c r="D90" s="353"/>
      <c r="E90" s="353"/>
      <c r="F90" s="353"/>
      <c r="G90" s="353"/>
      <c r="H90" s="353"/>
      <c r="I90" s="353"/>
    </row>
    <row r="91" spans="3:9">
      <c r="C91" s="353"/>
      <c r="D91" s="353"/>
      <c r="E91" s="353"/>
      <c r="F91" s="353"/>
      <c r="G91" s="353"/>
      <c r="H91" s="353"/>
      <c r="I91" s="353"/>
    </row>
    <row r="92" spans="3:9">
      <c r="C92" s="353"/>
      <c r="D92" s="353"/>
      <c r="E92" s="353"/>
      <c r="F92" s="353"/>
      <c r="G92" s="353"/>
      <c r="H92" s="353"/>
      <c r="I92" s="353"/>
    </row>
    <row r="93" spans="3:9">
      <c r="C93" s="353"/>
      <c r="D93" s="353"/>
      <c r="E93" s="353"/>
      <c r="F93" s="353"/>
      <c r="G93" s="353"/>
      <c r="H93" s="353"/>
      <c r="I93" s="353"/>
    </row>
    <row r="94" spans="3:9">
      <c r="C94" s="353"/>
      <c r="D94" s="353"/>
      <c r="E94" s="353"/>
      <c r="F94" s="353"/>
      <c r="G94" s="353"/>
      <c r="H94" s="353"/>
      <c r="I94" s="353"/>
    </row>
    <row r="95" spans="3:9">
      <c r="C95" s="353"/>
      <c r="D95" s="353"/>
      <c r="E95" s="353"/>
      <c r="F95" s="353"/>
      <c r="G95" s="353"/>
      <c r="H95" s="353"/>
      <c r="I95" s="353"/>
    </row>
    <row r="96" spans="3:9">
      <c r="C96" s="353"/>
      <c r="D96" s="353"/>
      <c r="E96" s="353"/>
      <c r="F96" s="353"/>
      <c r="G96" s="353"/>
      <c r="H96" s="353"/>
      <c r="I96" s="353"/>
    </row>
    <row r="97" spans="3:9">
      <c r="C97" s="353"/>
      <c r="D97" s="353"/>
      <c r="E97" s="353"/>
      <c r="F97" s="353"/>
      <c r="G97" s="353"/>
      <c r="H97" s="353"/>
      <c r="I97" s="353"/>
    </row>
    <row r="98" spans="3:9">
      <c r="C98" s="353"/>
      <c r="D98" s="353"/>
      <c r="E98" s="353"/>
      <c r="F98" s="353"/>
      <c r="G98" s="353"/>
      <c r="H98" s="353"/>
      <c r="I98" s="353"/>
    </row>
    <row r="99" spans="3:9">
      <c r="C99" s="353"/>
      <c r="D99" s="353"/>
      <c r="E99" s="353"/>
      <c r="F99" s="353"/>
      <c r="G99" s="353"/>
      <c r="H99" s="353"/>
      <c r="I99" s="353"/>
    </row>
    <row r="100" spans="3:9">
      <c r="C100" s="353"/>
      <c r="D100" s="353"/>
      <c r="E100" s="353"/>
      <c r="F100" s="353"/>
      <c r="G100" s="353"/>
      <c r="H100" s="353"/>
      <c r="I100" s="353"/>
    </row>
    <row r="101" spans="3:9">
      <c r="C101" s="353"/>
      <c r="D101" s="353"/>
      <c r="E101" s="353"/>
      <c r="F101" s="353"/>
      <c r="G101" s="353"/>
      <c r="H101" s="353"/>
      <c r="I101" s="353"/>
    </row>
    <row r="102" spans="3:9">
      <c r="C102" s="353"/>
      <c r="D102" s="353"/>
      <c r="E102" s="353"/>
      <c r="F102" s="353"/>
      <c r="G102" s="353"/>
      <c r="H102" s="353"/>
      <c r="I102" s="353"/>
    </row>
    <row r="103" spans="3:9">
      <c r="C103" s="353"/>
      <c r="D103" s="353"/>
      <c r="E103" s="353"/>
      <c r="F103" s="353"/>
      <c r="G103" s="353"/>
      <c r="H103" s="353"/>
      <c r="I103" s="353"/>
    </row>
    <row r="104" spans="3:9">
      <c r="C104" s="353"/>
      <c r="D104" s="353"/>
      <c r="E104" s="353"/>
      <c r="F104" s="353"/>
      <c r="G104" s="353"/>
      <c r="H104" s="353"/>
      <c r="I104" s="353"/>
    </row>
    <row r="105" spans="3:9">
      <c r="C105" s="353"/>
      <c r="D105" s="353"/>
      <c r="E105" s="353"/>
      <c r="F105" s="353"/>
      <c r="G105" s="353"/>
      <c r="H105" s="353"/>
      <c r="I105" s="353"/>
    </row>
    <row r="106" spans="3:9">
      <c r="C106" s="353"/>
      <c r="D106" s="353"/>
      <c r="E106" s="353"/>
      <c r="F106" s="353"/>
      <c r="G106" s="353"/>
      <c r="H106" s="353"/>
      <c r="I106" s="353"/>
    </row>
    <row r="107" spans="3:9">
      <c r="C107" s="353"/>
      <c r="D107" s="353"/>
      <c r="E107" s="353"/>
      <c r="F107" s="353"/>
      <c r="G107" s="353"/>
      <c r="H107" s="353"/>
      <c r="I107" s="353"/>
    </row>
    <row r="108" spans="3:9">
      <c r="C108" s="353"/>
      <c r="D108" s="353"/>
      <c r="E108" s="353"/>
      <c r="F108" s="353"/>
      <c r="G108" s="353"/>
      <c r="H108" s="353"/>
      <c r="I108" s="353"/>
    </row>
  </sheetData>
  <mergeCells count="13">
    <mergeCell ref="B10:B21"/>
    <mergeCell ref="C7:C9"/>
    <mergeCell ref="H1:L3"/>
    <mergeCell ref="H7:I7"/>
    <mergeCell ref="I10:I16"/>
    <mergeCell ref="I18:I20"/>
    <mergeCell ref="K7:L7"/>
    <mergeCell ref="E21:I21"/>
    <mergeCell ref="D7:D9"/>
    <mergeCell ref="F7:G7"/>
    <mergeCell ref="K8:L8"/>
    <mergeCell ref="E8:G8"/>
    <mergeCell ref="E10:E18"/>
  </mergeCells>
  <pageMargins left="0.7" right="0.7" top="0.75" bottom="0.75" header="0.3" footer="0.3"/>
  <pageSetup paperSize="256" fitToHeight="0" orientation="landscape" r:id="rId1"/>
  <ignoredErrors>
    <ignoredError sqref="I18 I1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Q26"/>
  <sheetViews>
    <sheetView zoomScaleNormal="100" workbookViewId="0">
      <pane ySplit="4" topLeftCell="A5" activePane="bottomLeft" state="frozen"/>
      <selection pane="bottomLeft"/>
    </sheetView>
  </sheetViews>
  <sheetFormatPr defaultColWidth="11.42578125" defaultRowHeight="12.75"/>
  <cols>
    <col min="1" max="1" width="5.7109375" style="2" customWidth="1"/>
    <col min="2" max="2" width="27.140625" style="2" customWidth="1"/>
    <col min="3" max="3" width="50" style="2" customWidth="1"/>
    <col min="4" max="13" width="10.28515625" style="2" customWidth="1"/>
    <col min="14" max="15" width="11.7109375" style="2" customWidth="1"/>
    <col min="16" max="17" width="11.42578125" style="2" customWidth="1"/>
    <col min="18" max="16384" width="11.42578125" style="2"/>
  </cols>
  <sheetData>
    <row r="1" spans="2:17" ht="12.75" customHeight="1">
      <c r="B1" s="353"/>
      <c r="C1" s="353"/>
      <c r="D1" s="18"/>
      <c r="E1" s="18"/>
      <c r="F1" s="353"/>
      <c r="G1" s="353"/>
      <c r="H1" s="355"/>
      <c r="I1" s="355"/>
      <c r="J1" s="355"/>
      <c r="K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L1" s="523"/>
      <c r="M1" s="523"/>
      <c r="N1" s="523"/>
      <c r="O1" s="523"/>
      <c r="P1" s="523"/>
      <c r="Q1" s="523"/>
    </row>
    <row r="2" spans="2:17" ht="12.75" customHeight="1">
      <c r="B2" s="355"/>
      <c r="C2" s="353"/>
      <c r="D2" s="18"/>
      <c r="E2" s="18"/>
      <c r="F2" s="353"/>
      <c r="G2" s="355"/>
      <c r="H2" s="355"/>
      <c r="I2" s="355"/>
      <c r="J2" s="355"/>
      <c r="K2" s="523"/>
      <c r="L2" s="523"/>
      <c r="M2" s="523"/>
      <c r="N2" s="523"/>
      <c r="O2" s="523"/>
      <c r="P2" s="523"/>
      <c r="Q2" s="523"/>
    </row>
    <row r="3" spans="2:17" ht="12.75" customHeight="1">
      <c r="B3" s="355"/>
      <c r="C3" s="353"/>
      <c r="D3" s="18"/>
      <c r="E3" s="18"/>
      <c r="F3" s="353"/>
      <c r="G3" s="355"/>
      <c r="H3" s="355"/>
      <c r="I3" s="355"/>
      <c r="J3" s="355"/>
      <c r="K3" s="523"/>
      <c r="L3" s="523"/>
      <c r="M3" s="523"/>
      <c r="N3" s="523"/>
      <c r="O3" s="523"/>
      <c r="P3" s="523"/>
      <c r="Q3" s="523"/>
    </row>
    <row r="4" spans="2:17" s="35" customFormat="1" ht="12.75" customHeight="1">
      <c r="B4" s="36" t="str">
        <f>IF('Język - Language'!$B$30="Polski","                        Data Power","                        Data Power")</f>
        <v xml:space="preserve">                        Data Power</v>
      </c>
      <c r="C4" s="356"/>
      <c r="D4" s="356"/>
      <c r="E4" s="356"/>
      <c r="F4" s="356"/>
      <c r="G4" s="356"/>
      <c r="H4" s="356"/>
      <c r="I4" s="356"/>
      <c r="J4" s="356"/>
      <c r="K4" s="356"/>
      <c r="L4" s="356"/>
      <c r="M4" s="356"/>
      <c r="N4" s="356"/>
      <c r="O4" s="356"/>
      <c r="P4" s="356"/>
      <c r="Q4" s="340" t="str">
        <f>IF('Język - Language'!$B$30="Polski","PL","EN")</f>
        <v>PL</v>
      </c>
    </row>
    <row r="5" spans="2:17" ht="15">
      <c r="B5" s="353"/>
      <c r="C5" s="353"/>
      <c r="D5" s="353"/>
      <c r="E5" s="353"/>
      <c r="F5" s="353"/>
      <c r="G5" s="353"/>
      <c r="H5" s="353"/>
      <c r="I5" s="353"/>
      <c r="J5" s="353"/>
      <c r="K5" s="353"/>
      <c r="L5" s="353"/>
      <c r="M5" s="353"/>
      <c r="N5" s="354"/>
      <c r="O5" s="354"/>
      <c r="P5" s="354"/>
      <c r="Q5" s="354"/>
    </row>
    <row r="6" spans="2:17" ht="12.75" customHeight="1">
      <c r="B6" s="109"/>
      <c r="C6" s="109"/>
      <c r="D6" s="354"/>
      <c r="E6" s="353"/>
      <c r="F6" s="353"/>
      <c r="G6" s="353"/>
      <c r="H6" s="353"/>
      <c r="I6" s="353"/>
      <c r="J6" s="353"/>
      <c r="K6" s="353"/>
      <c r="L6" s="353"/>
      <c r="M6" s="353"/>
      <c r="N6" s="109"/>
      <c r="O6" s="109"/>
      <c r="P6" s="354"/>
      <c r="Q6" s="354"/>
    </row>
    <row r="7" spans="2:17" ht="12.75" customHeight="1">
      <c r="B7" s="908" t="s">
        <v>134</v>
      </c>
      <c r="C7" s="990" t="s">
        <v>135</v>
      </c>
      <c r="D7" s="874" t="s">
        <v>136</v>
      </c>
      <c r="E7" s="874"/>
      <c r="F7" s="874" t="s">
        <v>137</v>
      </c>
      <c r="G7" s="874"/>
      <c r="H7" s="874" t="s">
        <v>138</v>
      </c>
      <c r="I7" s="916"/>
      <c r="J7" s="915" t="s">
        <v>139</v>
      </c>
      <c r="K7" s="916"/>
      <c r="L7" s="899" t="s">
        <v>108</v>
      </c>
      <c r="M7" s="900"/>
      <c r="N7" s="973" t="s">
        <v>140</v>
      </c>
      <c r="O7" s="985"/>
      <c r="P7" s="981" t="s">
        <v>141</v>
      </c>
      <c r="Q7" s="982"/>
    </row>
    <row r="8" spans="2:17" ht="12.75" customHeight="1">
      <c r="B8" s="648"/>
      <c r="C8" s="991"/>
      <c r="D8" s="772"/>
      <c r="E8" s="772"/>
      <c r="F8" s="772" t="s">
        <v>142</v>
      </c>
      <c r="G8" s="772"/>
      <c r="H8" s="772"/>
      <c r="I8" s="779"/>
      <c r="J8" s="917"/>
      <c r="K8" s="779"/>
      <c r="L8" s="899"/>
      <c r="M8" s="900"/>
      <c r="N8" s="973"/>
      <c r="O8" s="985"/>
      <c r="P8" s="981"/>
      <c r="Q8" s="982"/>
    </row>
    <row r="9" spans="2:17" ht="25.5" customHeight="1">
      <c r="B9" s="648"/>
      <c r="C9" s="991"/>
      <c r="D9" s="911" t="s">
        <v>143</v>
      </c>
      <c r="E9" s="911"/>
      <c r="F9" s="772" t="s">
        <v>144</v>
      </c>
      <c r="G9" s="772"/>
      <c r="H9" s="772" t="s">
        <v>145</v>
      </c>
      <c r="I9" s="779"/>
      <c r="J9" s="904" t="s">
        <v>146</v>
      </c>
      <c r="K9" s="905"/>
      <c r="L9" s="901" t="s">
        <v>109</v>
      </c>
      <c r="M9" s="902"/>
      <c r="N9" s="901" t="s">
        <v>147</v>
      </c>
      <c r="O9" s="902"/>
      <c r="P9" s="981"/>
      <c r="Q9" s="982"/>
    </row>
    <row r="10" spans="2:17" ht="25.5" customHeight="1">
      <c r="B10" s="648"/>
      <c r="C10" s="991"/>
      <c r="D10" s="911"/>
      <c r="E10" s="911"/>
      <c r="F10" s="911" t="s">
        <v>148</v>
      </c>
      <c r="G10" s="911"/>
      <c r="H10" s="772"/>
      <c r="I10" s="779"/>
      <c r="J10" s="904"/>
      <c r="K10" s="905"/>
      <c r="L10" s="901"/>
      <c r="M10" s="902"/>
      <c r="N10" s="901"/>
      <c r="O10" s="902"/>
      <c r="P10" s="983"/>
      <c r="Q10" s="984"/>
    </row>
    <row r="11" spans="2:17" ht="25.5" customHeight="1">
      <c r="B11" s="648"/>
      <c r="C11" s="991"/>
      <c r="D11" s="772" t="s">
        <v>149</v>
      </c>
      <c r="E11" s="772"/>
      <c r="F11" s="772"/>
      <c r="G11" s="772"/>
      <c r="H11" s="772"/>
      <c r="I11" s="772"/>
      <c r="J11" s="772"/>
      <c r="K11" s="772"/>
      <c r="L11" s="772"/>
      <c r="M11" s="779"/>
      <c r="N11" s="986" t="s">
        <v>150</v>
      </c>
      <c r="O11" s="985"/>
      <c r="P11" s="772" t="s">
        <v>151</v>
      </c>
      <c r="Q11" s="779"/>
    </row>
    <row r="12" spans="2:17" ht="25.5" customHeight="1">
      <c r="B12" s="903"/>
      <c r="C12" s="991"/>
      <c r="D12" s="470" t="s">
        <v>152</v>
      </c>
      <c r="E12" s="349" t="s">
        <v>153</v>
      </c>
      <c r="F12" s="470" t="s">
        <v>152</v>
      </c>
      <c r="G12" s="349" t="s">
        <v>153</v>
      </c>
      <c r="H12" s="470" t="s">
        <v>152</v>
      </c>
      <c r="I12" s="349" t="s">
        <v>153</v>
      </c>
      <c r="J12" s="470" t="s">
        <v>152</v>
      </c>
      <c r="K12" s="360" t="s">
        <v>153</v>
      </c>
      <c r="L12" s="470" t="s">
        <v>152</v>
      </c>
      <c r="M12" s="360" t="s">
        <v>153</v>
      </c>
      <c r="N12" s="359" t="s">
        <v>128</v>
      </c>
      <c r="O12" s="361" t="s">
        <v>154</v>
      </c>
      <c r="P12" s="470" t="s">
        <v>95</v>
      </c>
      <c r="Q12" s="471" t="s">
        <v>96</v>
      </c>
    </row>
    <row r="13" spans="2:17" ht="37.5" customHeight="1">
      <c r="B13" s="493" t="s">
        <v>155</v>
      </c>
      <c r="C13" s="438" t="s">
        <v>156</v>
      </c>
      <c r="D13" s="343">
        <v>108</v>
      </c>
      <c r="E13" s="474">
        <v>129.6</v>
      </c>
      <c r="F13" s="343">
        <v>162</v>
      </c>
      <c r="G13" s="474">
        <v>194.4</v>
      </c>
      <c r="H13" s="343">
        <v>216</v>
      </c>
      <c r="I13" s="474">
        <v>259.2</v>
      </c>
      <c r="J13" s="346">
        <v>252</v>
      </c>
      <c r="K13" s="403">
        <v>302.39999999999998</v>
      </c>
      <c r="L13" s="346">
        <v>282</v>
      </c>
      <c r="M13" s="403">
        <v>338.4</v>
      </c>
      <c r="N13" s="362" t="s">
        <v>157</v>
      </c>
      <c r="O13" s="405" t="s">
        <v>158</v>
      </c>
      <c r="P13" s="365" t="s">
        <v>159</v>
      </c>
      <c r="Q13" s="407" t="s">
        <v>160</v>
      </c>
    </row>
    <row r="14" spans="2:17" s="95" customFormat="1" ht="37.5" customHeight="1">
      <c r="B14" s="342" t="s">
        <v>161</v>
      </c>
      <c r="C14" s="477" t="s">
        <v>162</v>
      </c>
      <c r="D14" s="347">
        <v>66</v>
      </c>
      <c r="E14" s="400">
        <v>78</v>
      </c>
      <c r="F14" s="344">
        <v>96</v>
      </c>
      <c r="G14" s="400">
        <v>115.19999999999999</v>
      </c>
      <c r="H14" s="344">
        <v>126</v>
      </c>
      <c r="I14" s="400">
        <v>151.19999999999999</v>
      </c>
      <c r="J14" s="345">
        <v>150</v>
      </c>
      <c r="K14" s="399">
        <v>180</v>
      </c>
      <c r="L14" s="345">
        <v>174</v>
      </c>
      <c r="M14" s="399">
        <v>210</v>
      </c>
      <c r="N14" s="363" t="s">
        <v>163</v>
      </c>
      <c r="O14" s="406" t="s">
        <v>164</v>
      </c>
      <c r="P14" s="366" t="s">
        <v>165</v>
      </c>
      <c r="Q14" s="408" t="s">
        <v>166</v>
      </c>
    </row>
    <row r="15" spans="2:17" ht="37.5" customHeight="1">
      <c r="B15" s="348" t="s">
        <v>167</v>
      </c>
      <c r="C15" s="438" t="s">
        <v>168</v>
      </c>
      <c r="D15" s="347">
        <v>54</v>
      </c>
      <c r="E15" s="400">
        <v>64.8</v>
      </c>
      <c r="F15" s="344">
        <v>81.599999999999994</v>
      </c>
      <c r="G15" s="400">
        <v>97.2</v>
      </c>
      <c r="H15" s="344">
        <v>108</v>
      </c>
      <c r="I15" s="400">
        <v>129.6</v>
      </c>
      <c r="J15" s="345">
        <v>127.19999999999999</v>
      </c>
      <c r="K15" s="399">
        <v>152.4</v>
      </c>
      <c r="L15" s="345">
        <v>144</v>
      </c>
      <c r="M15" s="399">
        <v>172.79999999999998</v>
      </c>
      <c r="N15" s="364" t="s">
        <v>163</v>
      </c>
      <c r="O15" s="406" t="s">
        <v>164</v>
      </c>
      <c r="P15" s="366" t="s">
        <v>169</v>
      </c>
      <c r="Q15" s="408" t="s">
        <v>170</v>
      </c>
    </row>
    <row r="16" spans="2:17" ht="37.5" customHeight="1">
      <c r="B16" s="342" t="s">
        <v>171</v>
      </c>
      <c r="C16" s="477" t="s">
        <v>172</v>
      </c>
      <c r="D16" s="347">
        <v>36</v>
      </c>
      <c r="E16" s="400">
        <v>43.199999999999996</v>
      </c>
      <c r="F16" s="344">
        <v>54</v>
      </c>
      <c r="G16" s="400">
        <v>64.8</v>
      </c>
      <c r="H16" s="344">
        <v>72</v>
      </c>
      <c r="I16" s="400">
        <v>86.399999999999991</v>
      </c>
      <c r="J16" s="345">
        <v>84</v>
      </c>
      <c r="K16" s="399">
        <v>100.8</v>
      </c>
      <c r="L16" s="345">
        <v>93.6</v>
      </c>
      <c r="M16" s="399">
        <v>112.8</v>
      </c>
      <c r="N16" s="364" t="s">
        <v>163</v>
      </c>
      <c r="O16" s="406" t="s">
        <v>164</v>
      </c>
      <c r="P16" s="366" t="s">
        <v>173</v>
      </c>
      <c r="Q16" s="408" t="s">
        <v>174</v>
      </c>
    </row>
    <row r="17" spans="1:17" ht="48" customHeight="1">
      <c r="A17" s="353"/>
      <c r="B17" s="342" t="s">
        <v>175</v>
      </c>
      <c r="C17" s="438" t="s">
        <v>176</v>
      </c>
      <c r="D17" s="347">
        <v>54</v>
      </c>
      <c r="E17" s="400">
        <v>64.8</v>
      </c>
      <c r="F17" s="344">
        <v>81.599999999999994</v>
      </c>
      <c r="G17" s="400">
        <v>97.2</v>
      </c>
      <c r="H17" s="344">
        <v>108</v>
      </c>
      <c r="I17" s="400">
        <v>129.6</v>
      </c>
      <c r="J17" s="345">
        <v>127.19999999999999</v>
      </c>
      <c r="K17" s="399">
        <v>152.4</v>
      </c>
      <c r="L17" s="345">
        <v>144</v>
      </c>
      <c r="M17" s="399">
        <v>172.79999999999998</v>
      </c>
      <c r="N17" s="364" t="s">
        <v>163</v>
      </c>
      <c r="O17" s="406" t="s">
        <v>164</v>
      </c>
      <c r="P17" s="366" t="s">
        <v>169</v>
      </c>
      <c r="Q17" s="408" t="s">
        <v>177</v>
      </c>
    </row>
    <row r="18" spans="1:17" ht="37.5" customHeight="1">
      <c r="A18" s="353"/>
      <c r="B18" s="348" t="s">
        <v>178</v>
      </c>
      <c r="C18" s="438" t="s">
        <v>179</v>
      </c>
      <c r="D18" s="347">
        <v>54</v>
      </c>
      <c r="E18" s="400">
        <v>64.8</v>
      </c>
      <c r="F18" s="344">
        <v>81.599999999999994</v>
      </c>
      <c r="G18" s="400">
        <v>97.2</v>
      </c>
      <c r="H18" s="344">
        <v>108</v>
      </c>
      <c r="I18" s="400">
        <v>129.6</v>
      </c>
      <c r="J18" s="345">
        <v>127.19999999999999</v>
      </c>
      <c r="K18" s="399">
        <v>152.4</v>
      </c>
      <c r="L18" s="345">
        <v>144</v>
      </c>
      <c r="M18" s="399">
        <v>172.79999999999998</v>
      </c>
      <c r="N18" s="364" t="s">
        <v>163</v>
      </c>
      <c r="O18" s="397">
        <v>150</v>
      </c>
      <c r="P18" s="366" t="s">
        <v>169</v>
      </c>
      <c r="Q18" s="408" t="s">
        <v>177</v>
      </c>
    </row>
    <row r="19" spans="1:17" ht="48" customHeight="1">
      <c r="A19" s="353"/>
      <c r="B19" s="342" t="s">
        <v>180</v>
      </c>
      <c r="C19" s="479" t="s">
        <v>181</v>
      </c>
      <c r="D19" s="344">
        <v>99</v>
      </c>
      <c r="E19" s="401">
        <v>118.8</v>
      </c>
      <c r="F19" s="344">
        <v>144</v>
      </c>
      <c r="G19" s="401">
        <v>172.79999999999998</v>
      </c>
      <c r="H19" s="344">
        <v>198</v>
      </c>
      <c r="I19" s="401">
        <v>237.6</v>
      </c>
      <c r="J19" s="345">
        <v>224.4</v>
      </c>
      <c r="K19" s="404">
        <v>268.8</v>
      </c>
      <c r="L19" s="345">
        <v>252</v>
      </c>
      <c r="M19" s="404">
        <v>302.39999999999998</v>
      </c>
      <c r="N19" s="364" t="s">
        <v>158</v>
      </c>
      <c r="O19" s="397">
        <v>240</v>
      </c>
      <c r="P19" s="366" t="s">
        <v>182</v>
      </c>
      <c r="Q19" s="408" t="s">
        <v>183</v>
      </c>
    </row>
    <row r="20" spans="1:17" ht="25.5" customHeight="1">
      <c r="A20" s="353"/>
      <c r="B20" s="348" t="s">
        <v>184</v>
      </c>
      <c r="C20" s="438" t="s">
        <v>185</v>
      </c>
      <c r="D20" s="987" t="s">
        <v>186</v>
      </c>
      <c r="E20" s="988"/>
      <c r="F20" s="988"/>
      <c r="G20" s="988"/>
      <c r="H20" s="988"/>
      <c r="I20" s="988"/>
      <c r="J20" s="988"/>
      <c r="K20" s="988"/>
      <c r="L20" s="988"/>
      <c r="M20" s="988"/>
      <c r="N20" s="988"/>
      <c r="O20" s="988"/>
      <c r="P20" s="988"/>
      <c r="Q20" s="989"/>
    </row>
    <row r="21" spans="1:17" ht="37.5" customHeight="1">
      <c r="A21" s="341"/>
      <c r="B21" s="348" t="s">
        <v>187</v>
      </c>
      <c r="C21" s="351" t="s">
        <v>188</v>
      </c>
      <c r="D21" s="978" t="s">
        <v>186</v>
      </c>
      <c r="E21" s="979"/>
      <c r="F21" s="979"/>
      <c r="G21" s="979"/>
      <c r="H21" s="979"/>
      <c r="I21" s="979"/>
      <c r="J21" s="979"/>
      <c r="K21" s="979"/>
      <c r="L21" s="979"/>
      <c r="M21" s="979"/>
      <c r="N21" s="979"/>
      <c r="O21" s="979"/>
      <c r="P21" s="979"/>
      <c r="Q21" s="980"/>
    </row>
    <row r="22" spans="1:17" ht="25.5" customHeight="1">
      <c r="A22" s="341"/>
      <c r="B22" s="350" t="s">
        <v>189</v>
      </c>
      <c r="C22" s="352" t="s">
        <v>190</v>
      </c>
      <c r="D22" s="978" t="s">
        <v>191</v>
      </c>
      <c r="E22" s="979"/>
      <c r="F22" s="979"/>
      <c r="G22" s="979"/>
      <c r="H22" s="979"/>
      <c r="I22" s="979"/>
      <c r="J22" s="979"/>
      <c r="K22" s="979"/>
      <c r="L22" s="979"/>
      <c r="M22" s="979"/>
      <c r="N22" s="979"/>
      <c r="O22" s="979"/>
      <c r="P22" s="979"/>
      <c r="Q22" s="980"/>
    </row>
    <row r="23" spans="1:17">
      <c r="A23" s="353"/>
      <c r="B23" s="357" t="str">
        <f>IF('Język - Language'!$B$30="Polski","¹ ceny dotyczą rozliczenia vCPM zgodnego ze standardem IAB, dla innych standardów obowiązuje wycena indywidualna","* the above prices concern the vCPM settlement according to the IAB standard, for other standards individual valuation applies")</f>
        <v>¹ ceny dotyczą rozliczenia vCPM zgodnego ze standardem IAB, dla innych standardów obowiązuje wycena indywidualna</v>
      </c>
      <c r="C23" s="353"/>
      <c r="D23" s="353"/>
      <c r="E23" s="353"/>
      <c r="F23" s="353"/>
      <c r="G23" s="353"/>
      <c r="H23" s="353"/>
      <c r="I23" s="353"/>
      <c r="J23" s="353"/>
      <c r="K23" s="353"/>
      <c r="L23" s="353"/>
      <c r="M23" s="353"/>
      <c r="N23" s="353"/>
      <c r="O23" s="353"/>
      <c r="P23" s="353"/>
      <c r="Q23" s="353"/>
    </row>
    <row r="24" spans="1:17">
      <c r="A24" s="353"/>
      <c r="B24" s="358" t="str">
        <f>IF('Język - Language'!$B$30="Polski","² na SG O2 możliwość emisji wybranych formatów reklamowych (bez Halfpage)","² in case of o2 only selected advertising formats are applicable (without Halfpage)")</f>
        <v>² na SG O2 możliwość emisji wybranych formatów reklamowych (bez Halfpage)</v>
      </c>
      <c r="C24" s="353"/>
      <c r="D24" s="353"/>
      <c r="E24" s="353"/>
      <c r="F24" s="353"/>
      <c r="G24" s="353"/>
      <c r="H24" s="353"/>
      <c r="I24" s="353"/>
      <c r="J24" s="353"/>
      <c r="K24" s="353"/>
      <c r="L24" s="353"/>
      <c r="M24" s="353"/>
      <c r="N24" s="353"/>
      <c r="O24" s="353"/>
      <c r="P24" s="353"/>
      <c r="Q24" s="353"/>
    </row>
    <row r="25" spans="1:17">
      <c r="A25" s="353"/>
      <c r="B25" s="358" t="str">
        <f>IF('Język - Language'!$B$30="Polski","³ Format dostępny na wybranych serwisach","³ Available only in selected sites")</f>
        <v>³ Format dostępny na wybranych serwisach</v>
      </c>
      <c r="C25" s="353"/>
      <c r="D25" s="353"/>
      <c r="E25" s="353"/>
      <c r="F25" s="353"/>
      <c r="G25" s="353"/>
      <c r="H25" s="353"/>
      <c r="I25" s="353"/>
      <c r="J25" s="353"/>
      <c r="K25" s="353"/>
      <c r="L25" s="353"/>
      <c r="M25" s="353"/>
      <c r="N25" s="353"/>
      <c r="O25" s="353"/>
      <c r="P25" s="353"/>
      <c r="Q25" s="353"/>
    </row>
    <row r="26" spans="1:17" s="353" customFormat="1">
      <c r="B26" s="358" t="str">
        <f>IF('Język - Language'!$B$30="Polski","⁴ +20% za emisję video z kodów emisyjnych","⁴ +20% za emisję video z kodów emisyjnych")</f>
        <v>⁴ +20% za emisję video z kodów emisyjnych</v>
      </c>
    </row>
  </sheetData>
  <mergeCells count="24">
    <mergeCell ref="B7:B12"/>
    <mergeCell ref="C7:C12"/>
    <mergeCell ref="D7:E8"/>
    <mergeCell ref="F7:G7"/>
    <mergeCell ref="H7:I8"/>
    <mergeCell ref="F8:G8"/>
    <mergeCell ref="D9:E10"/>
    <mergeCell ref="K1:Q3"/>
    <mergeCell ref="D20:Q20"/>
    <mergeCell ref="F9:G9"/>
    <mergeCell ref="H9:I10"/>
    <mergeCell ref="L9:M10"/>
    <mergeCell ref="F10:G10"/>
    <mergeCell ref="J7:K8"/>
    <mergeCell ref="D21:Q21"/>
    <mergeCell ref="D22:Q22"/>
    <mergeCell ref="P7:Q10"/>
    <mergeCell ref="N7:O8"/>
    <mergeCell ref="N11:O11"/>
    <mergeCell ref="N9:O10"/>
    <mergeCell ref="P11:Q11"/>
    <mergeCell ref="J9:K10"/>
    <mergeCell ref="D11:M11"/>
    <mergeCell ref="L7:M8"/>
  </mergeCells>
  <pageMargins left="0.7" right="0.7" top="0.75" bottom="0.75" header="0.3" footer="0.3"/>
  <pageSetup paperSize="256" fitToHeight="0" orientation="landscape" r:id="rId1"/>
  <ignoredErrors>
    <ignoredError sqref="D20 D22 D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76"/>
  <sheetViews>
    <sheetView zoomScaleNormal="100" workbookViewId="0">
      <pane ySplit="4" topLeftCell="A5" activePane="bottomLeft" state="frozen"/>
      <selection pane="bottomLeft"/>
    </sheetView>
  </sheetViews>
  <sheetFormatPr defaultColWidth="11.42578125" defaultRowHeight="12.75"/>
  <cols>
    <col min="1" max="1" width="5.7109375" style="68" customWidth="1"/>
    <col min="2" max="2" width="20.42578125" style="68" customWidth="1"/>
    <col min="3" max="3" width="70.85546875" style="68" customWidth="1"/>
    <col min="4" max="4" width="43.85546875" style="68" customWidth="1"/>
    <col min="5" max="5" width="5.42578125" style="68" customWidth="1"/>
    <col min="6" max="6" width="33.42578125" style="68" customWidth="1"/>
    <col min="7" max="16384" width="11.42578125" style="68"/>
  </cols>
  <sheetData>
    <row r="1" spans="1:12" ht="12.75" customHeight="1">
      <c r="A1" s="111"/>
      <c r="B1" s="111"/>
      <c r="C1" s="523"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23"/>
      <c r="E1" s="73"/>
      <c r="F1" s="73"/>
      <c r="G1" s="353"/>
      <c r="H1" s="353"/>
      <c r="I1" s="353"/>
      <c r="J1" s="353"/>
      <c r="K1" s="353"/>
      <c r="L1" s="353"/>
    </row>
    <row r="2" spans="1:12" ht="12.75" customHeight="1">
      <c r="A2" s="111"/>
      <c r="B2" s="111"/>
      <c r="C2" s="523"/>
      <c r="D2" s="523"/>
      <c r="E2" s="73"/>
      <c r="F2" s="73"/>
      <c r="G2" s="353"/>
      <c r="H2" s="353"/>
      <c r="I2" s="353"/>
      <c r="J2" s="353"/>
      <c r="K2" s="353"/>
      <c r="L2" s="353"/>
    </row>
    <row r="3" spans="1:12" ht="12.75" customHeight="1">
      <c r="A3" s="111"/>
      <c r="B3" s="111"/>
      <c r="C3" s="523"/>
      <c r="D3" s="523"/>
      <c r="E3" s="73"/>
      <c r="F3" s="73"/>
      <c r="G3" s="353"/>
      <c r="H3" s="353"/>
      <c r="I3" s="353"/>
      <c r="J3" s="353"/>
      <c r="K3" s="353"/>
      <c r="L3" s="353"/>
    </row>
    <row r="4" spans="1:12" s="35" customFormat="1" ht="12.75" customHeight="1">
      <c r="A4" s="356"/>
      <c r="B4" s="36" t="str">
        <f>IF('Język - Language'!$B$30="Polski","            Opcje emisji, dopłaty i uwagi dodatkowe","            Extra charges, additional service and further comments")</f>
        <v xml:space="preserve">            Opcje emisji, dopłaty i uwagi dodatkowe</v>
      </c>
      <c r="C4" s="37"/>
      <c r="D4" s="340" t="str">
        <f>IF('Język - Language'!$B$30="Polski","PL","EN")</f>
        <v>PL</v>
      </c>
      <c r="E4" s="356"/>
      <c r="F4" s="356"/>
      <c r="G4" s="356"/>
      <c r="H4" s="356"/>
      <c r="I4" s="356"/>
      <c r="J4" s="356"/>
      <c r="K4" s="356"/>
      <c r="L4" s="356"/>
    </row>
    <row r="5" spans="1:12" ht="12.75" customHeight="1">
      <c r="A5" s="353"/>
      <c r="B5" s="353"/>
      <c r="C5" s="353"/>
      <c r="D5" s="353"/>
      <c r="E5" s="353"/>
      <c r="F5" s="353"/>
      <c r="G5" s="353"/>
      <c r="H5" s="353"/>
      <c r="I5" s="353"/>
      <c r="J5" s="353"/>
      <c r="K5" s="353"/>
      <c r="L5" s="353"/>
    </row>
    <row r="6" spans="1:12" ht="12.75" customHeight="1">
      <c r="A6" s="353"/>
      <c r="B6" s="341"/>
      <c r="C6" s="341"/>
      <c r="D6" s="341"/>
      <c r="E6" s="353"/>
      <c r="F6" s="353"/>
      <c r="G6" s="353"/>
      <c r="H6" s="353"/>
      <c r="I6" s="353"/>
      <c r="J6" s="353"/>
      <c r="K6" s="353"/>
      <c r="L6" s="353"/>
    </row>
    <row r="7" spans="1:12" ht="25.5" customHeight="1">
      <c r="A7" s="341"/>
      <c r="B7" s="1010" t="str">
        <f>IF('Język - Language'!$B$30="Polski","OPCJE EMISJI","ADDITIONAL OPTIONS")</f>
        <v>OPCJE EMISJI</v>
      </c>
      <c r="C7" s="1010"/>
      <c r="D7" s="483" t="str">
        <f>IF('Język - Language'!$B$30="Polski","DOPŁATA","EXTRA CHARGE")</f>
        <v>DOPŁATA</v>
      </c>
      <c r="E7" s="353"/>
      <c r="F7" s="353"/>
      <c r="G7" s="353"/>
      <c r="H7" s="353"/>
      <c r="I7" s="353"/>
      <c r="J7" s="353"/>
      <c r="K7" s="353"/>
      <c r="L7" s="353"/>
    </row>
    <row r="8" spans="1:12" s="277" customFormat="1" ht="12.75" customHeight="1">
      <c r="A8" s="353"/>
      <c r="B8" s="1011" t="str">
        <f>IF('Język - Language'!$B$30="Polski","Umieszczenie reklamy w wybranym przedziale godzinowym","Displaying ad in selected hourly time slots")</f>
        <v>Umieszczenie reklamy w wybranym przedziale godzinowym</v>
      </c>
      <c r="C8" s="1011"/>
      <c r="D8" s="486" t="s">
        <v>192</v>
      </c>
      <c r="E8" s="22"/>
      <c r="F8" s="156"/>
      <c r="G8" s="156"/>
      <c r="H8" s="156"/>
      <c r="I8" s="74"/>
      <c r="J8" s="74"/>
      <c r="K8" s="74"/>
      <c r="L8" s="74"/>
    </row>
    <row r="9" spans="1:12" ht="12.75" customHeight="1">
      <c r="A9" s="353"/>
      <c r="B9" s="566" t="str">
        <f>IF('Język - Language'!$B$30="Polski","Umieszczenie reklamy w wybranym przedziale godzinowym w opcji last minute","Displaying ad in selected hourly time slots (last minute)")</f>
        <v>Umieszczenie reklamy w wybranym przedziale godzinowym w opcji last minute</v>
      </c>
      <c r="C9" s="568"/>
      <c r="D9" s="486" t="s">
        <v>193</v>
      </c>
      <c r="E9" s="22"/>
      <c r="F9" s="156"/>
      <c r="G9" s="156"/>
      <c r="H9" s="156"/>
      <c r="I9" s="74"/>
      <c r="J9" s="74"/>
      <c r="K9" s="74"/>
      <c r="L9" s="74"/>
    </row>
    <row r="10" spans="1:12" ht="12.75" customHeight="1">
      <c r="A10" s="353"/>
      <c r="B10" s="1011" t="str">
        <f>IF('Język - Language'!$B$30="Polski","Ukierunkowanie reklamy do użytkowników wybranej przeglądarki internetowej","Directing ad to users using selected internet browser")</f>
        <v>Ukierunkowanie reklamy do użytkowników wybranej przeglądarki internetowej</v>
      </c>
      <c r="C10" s="1011"/>
      <c r="D10" s="487" t="s">
        <v>192</v>
      </c>
      <c r="E10" s="353"/>
      <c r="F10" s="156"/>
      <c r="G10" s="156"/>
      <c r="H10" s="156"/>
      <c r="I10" s="341"/>
      <c r="J10" s="341"/>
      <c r="K10" s="341"/>
      <c r="L10" s="341"/>
    </row>
    <row r="11" spans="1:12" ht="12.75" customHeight="1">
      <c r="A11" s="353"/>
      <c r="B11" s="1009" t="str">
        <f>IF('Język - Language'!$B$30="Polski","Ukierunkowanie reklamy do użytkowników wybranego systemu operacyjnego","Directing ad to users using selected operational system")</f>
        <v>Ukierunkowanie reklamy do użytkowników wybranego systemu operacyjnego</v>
      </c>
      <c r="C11" s="1009"/>
      <c r="D11" s="487" t="s">
        <v>193</v>
      </c>
      <c r="E11" s="353"/>
      <c r="F11" s="156"/>
      <c r="G11" s="156"/>
      <c r="H11" s="156"/>
      <c r="I11" s="1014"/>
      <c r="J11" s="1014"/>
      <c r="K11" s="1014"/>
      <c r="L11" s="75"/>
    </row>
    <row r="12" spans="1:12" ht="12.75" customHeight="1">
      <c r="A12" s="353"/>
      <c r="B12" s="781" t="str">
        <f>IF('Język - Language'!$B$30="Polski","Ukierunkowanie reklamy do użytkowników wybranej marki lub modelu telefonu","Directing ad to users of selected brand or type of cell phone")</f>
        <v>Ukierunkowanie reklamy do użytkowników wybranej marki lub modelu telefonu</v>
      </c>
      <c r="C12" s="781"/>
      <c r="D12" s="487" t="s">
        <v>192</v>
      </c>
      <c r="E12" s="353"/>
      <c r="F12" s="156"/>
      <c r="G12" s="156"/>
      <c r="H12" s="156"/>
      <c r="I12" s="1014"/>
      <c r="J12" s="1014"/>
      <c r="K12" s="1014"/>
      <c r="L12" s="75"/>
    </row>
    <row r="13" spans="1:12" ht="12.75" customHeight="1">
      <c r="A13" s="353"/>
      <c r="B13" s="1009" t="str">
        <f>IF('Język - Language'!$B$30="Polski","Ograniczenie ilości odsłon reklamy do pojedynczego użytkownika","Capping ad to single users")</f>
        <v>Ograniczenie ilości odsłon reklamy do pojedynczego użytkownika</v>
      </c>
      <c r="C13" s="1009"/>
      <c r="D13" s="487" t="s">
        <v>193</v>
      </c>
      <c r="E13" s="22"/>
      <c r="F13" s="156"/>
      <c r="G13" s="156"/>
      <c r="H13" s="156"/>
      <c r="I13" s="1014"/>
      <c r="J13" s="1014"/>
      <c r="K13" s="1014"/>
      <c r="L13" s="75"/>
    </row>
    <row r="14" spans="1:12" ht="12.75" customHeight="1">
      <c r="A14" s="353"/>
      <c r="B14" s="566" t="str">
        <f>IF('Język - Language'!$B$30="Polski","Targetowanie po operatorach (Play, Plus, T-mobile, Orange)","Directing ad to users who use Play, Plus, T-mobile or Orange provider ")</f>
        <v>Targetowanie po operatorach (Play, Plus, T-mobile, Orange)</v>
      </c>
      <c r="C14" s="568"/>
      <c r="D14" s="487" t="s">
        <v>191</v>
      </c>
      <c r="E14" s="353"/>
      <c r="F14" s="156"/>
      <c r="G14" s="156"/>
      <c r="H14" s="156"/>
      <c r="I14" s="1014"/>
      <c r="J14" s="1014"/>
      <c r="K14" s="1014"/>
      <c r="L14" s="75"/>
    </row>
    <row r="15" spans="1:12" ht="12.75" customHeight="1">
      <c r="A15" s="353"/>
      <c r="B15" s="566"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568"/>
      <c r="D15" s="487" t="s">
        <v>186</v>
      </c>
      <c r="E15" s="353"/>
      <c r="F15" s="156"/>
      <c r="G15" s="156"/>
      <c r="H15" s="156"/>
      <c r="I15" s="490"/>
      <c r="J15" s="490"/>
      <c r="K15" s="490"/>
      <c r="L15" s="75"/>
    </row>
    <row r="16" spans="1:12" ht="12.75" customHeight="1">
      <c r="A16" s="353"/>
      <c r="B16" s="1012" t="str">
        <f>IF('Język - Language'!$B$30="Polski","Wideo w kreacji ","Adding video in creative")</f>
        <v xml:space="preserve">Wideo w kreacji </v>
      </c>
      <c r="C16" s="1012"/>
      <c r="D16" s="487" t="s">
        <v>191</v>
      </c>
      <c r="E16" s="22"/>
      <c r="F16" s="156"/>
      <c r="G16" s="156"/>
      <c r="H16" s="156"/>
      <c r="I16" s="1013"/>
      <c r="J16" s="1013"/>
      <c r="K16" s="1013"/>
      <c r="L16" s="75"/>
    </row>
    <row r="17" spans="2:12" ht="12.75" customHeight="1">
      <c r="B17" s="1012" t="str">
        <f>IF('Język - Language'!$B$30="Polski","Gwarancja pierwszej pozycji w bloku reklamowym","A guarantee of the first ad position in advertising/placement block")</f>
        <v>Gwarancja pierwszej pozycji w bloku reklamowym</v>
      </c>
      <c r="C17" s="1012"/>
      <c r="D17" s="487" t="s">
        <v>194</v>
      </c>
      <c r="E17" s="22"/>
      <c r="F17" s="156"/>
      <c r="G17" s="156"/>
      <c r="H17" s="156"/>
      <c r="I17" s="492"/>
      <c r="J17" s="492"/>
      <c r="K17" s="492"/>
      <c r="L17" s="75"/>
    </row>
    <row r="18" spans="2:12" ht="12.75" customHeight="1">
      <c r="B18" s="1012" t="str">
        <f>IF('Język - Language'!$B$30="Polski","Emisja wyłącznie na wybranej części serwisu","Displaying ad in selected pages of a given site")</f>
        <v>Emisja wyłącznie na wybranej części serwisu</v>
      </c>
      <c r="C18" s="1012"/>
      <c r="D18" s="487" t="s">
        <v>191</v>
      </c>
      <c r="E18" s="22"/>
      <c r="F18" s="156"/>
      <c r="G18" s="156"/>
      <c r="H18" s="156"/>
      <c r="I18" s="1013"/>
      <c r="J18" s="1013"/>
      <c r="K18" s="1013"/>
      <c r="L18" s="75"/>
    </row>
    <row r="19" spans="2:12" ht="12.75" customHeight="1">
      <c r="B19" s="566" t="str">
        <f>IF('Język - Language'!$B$30="Polski","Klikalna / animowana tapeta","Clicable / animated watermark")</f>
        <v>Klikalna / animowana tapeta</v>
      </c>
      <c r="C19" s="568"/>
      <c r="D19" s="487" t="s">
        <v>191</v>
      </c>
      <c r="E19" s="353"/>
      <c r="F19" s="156"/>
      <c r="G19" s="156"/>
      <c r="H19" s="156"/>
      <c r="I19" s="1014"/>
      <c r="J19" s="1014"/>
      <c r="K19" s="1014"/>
      <c r="L19" s="75"/>
    </row>
    <row r="20" spans="2:12" ht="12.75" customHeight="1">
      <c r="B20" s="1012" t="str">
        <f>IF('Język - Language'!$B$30="Polski","Wyświetlanie kreacji reklamowych w określonej sekwencji","Displaying ads sequentionally")</f>
        <v>Wyświetlanie kreacji reklamowych w określonej sekwencji</v>
      </c>
      <c r="C20" s="1012"/>
      <c r="D20" s="487" t="s">
        <v>192</v>
      </c>
      <c r="E20" s="22"/>
      <c r="F20" s="156"/>
      <c r="G20" s="156"/>
      <c r="H20" s="156"/>
      <c r="I20" s="1014"/>
      <c r="J20" s="1014"/>
      <c r="K20" s="1014"/>
      <c r="L20" s="75"/>
    </row>
    <row r="21" spans="2:12" ht="12.75" customHeight="1">
      <c r="B21" s="1009" t="str">
        <f>IF('Język - Language'!$B$30="Polski","Logo drugiego klienta w kreacji","Adding second brand in a creative")</f>
        <v>Logo drugiego klienta w kreacji</v>
      </c>
      <c r="C21" s="1009"/>
      <c r="D21" s="487" t="s">
        <v>195</v>
      </c>
      <c r="E21" s="353"/>
      <c r="F21" s="156"/>
      <c r="G21" s="156"/>
      <c r="H21" s="156"/>
      <c r="I21" s="1014"/>
      <c r="J21" s="1014"/>
      <c r="K21" s="1014"/>
      <c r="L21" s="75"/>
    </row>
    <row r="22" spans="2:12" ht="12.75" customHeight="1">
      <c r="B22" s="781" t="str">
        <f>IF('Język - Language'!$B$30="Polski","Każde następne logo w kreacji","Further brands in a creative")</f>
        <v>Każde następne logo w kreacji</v>
      </c>
      <c r="C22" s="781"/>
      <c r="D22" s="487" t="s">
        <v>192</v>
      </c>
      <c r="E22" s="353"/>
      <c r="F22" s="156"/>
      <c r="G22" s="156"/>
      <c r="H22" s="156"/>
      <c r="I22" s="1014"/>
      <c r="J22" s="1014"/>
      <c r="K22" s="1014"/>
      <c r="L22" s="341"/>
    </row>
    <row r="23" spans="2:12" ht="12.75" customHeight="1">
      <c r="B23" s="1009" t="str">
        <f>IF('Język - Language'!$B$30="Polski","Przekroczenie wagi kreacji za każdy procent przekroczenia","Exceeding the ad weight for each per cent in excess")</f>
        <v>Przekroczenie wagi kreacji za każdy procent przekroczenia</v>
      </c>
      <c r="C23" s="1009"/>
      <c r="D23" s="487" t="s">
        <v>196</v>
      </c>
      <c r="E23" s="76"/>
      <c r="F23" s="156"/>
      <c r="G23" s="156"/>
      <c r="H23" s="156"/>
      <c r="I23" s="341"/>
      <c r="J23" s="341"/>
      <c r="K23" s="341"/>
      <c r="L23" s="341"/>
    </row>
    <row r="24" spans="2:12" ht="12.75" customHeight="1">
      <c r="B24" s="1009" t="str">
        <f>IF('Język - Language'!$B$30="Polski","Scrollowanie i expandowanie formy reklamowej","Scrolling and expanding of ads ")</f>
        <v>Scrollowanie i expandowanie formy reklamowej</v>
      </c>
      <c r="C24" s="1009"/>
      <c r="D24" s="487" t="s">
        <v>186</v>
      </c>
      <c r="E24" s="22"/>
      <c r="F24" s="156"/>
      <c r="G24" s="156"/>
      <c r="H24" s="156"/>
      <c r="I24" s="353"/>
      <c r="J24" s="353"/>
      <c r="K24" s="353"/>
      <c r="L24" s="353"/>
    </row>
    <row r="25" spans="2:12" s="129" customFormat="1" ht="12.75" customHeight="1">
      <c r="B25" s="566" t="str">
        <f>IF('Język - Language'!$B$30="Polski","Scroller, slider, paralaxa w kreacji","Scroller, slider, parallax in a creative")</f>
        <v>Scroller, slider, paralaxa w kreacji</v>
      </c>
      <c r="C25" s="568"/>
      <c r="D25" s="487" t="s">
        <v>191</v>
      </c>
      <c r="E25" s="22"/>
      <c r="F25" s="156"/>
      <c r="G25" s="156"/>
      <c r="H25" s="156"/>
      <c r="I25" s="353"/>
      <c r="J25" s="353"/>
      <c r="K25" s="353"/>
      <c r="L25" s="353"/>
    </row>
    <row r="26" spans="2:12" ht="12.75" customHeight="1">
      <c r="B26" s="1009" t="str">
        <f>IF('Język - Language'!$B$30="Polski","Mega formaty","Mega Formats")</f>
        <v>Mega formaty</v>
      </c>
      <c r="C26" s="1009"/>
      <c r="D26" s="294" t="str">
        <f>IF('Język - Language'!$B$30="Polski","+50% do ceny formy podstawowej","+50% to basic format price")</f>
        <v>+50% do ceny formy podstawowej</v>
      </c>
      <c r="E26" s="353"/>
      <c r="F26" s="156"/>
      <c r="G26" s="156"/>
      <c r="H26" s="156"/>
      <c r="I26" s="353"/>
      <c r="J26" s="353"/>
      <c r="K26" s="353"/>
      <c r="L26" s="353"/>
    </row>
    <row r="27" spans="2:12" ht="12.75" customHeight="1">
      <c r="B27" s="1012" t="str">
        <f>IF('Język - Language'!$B$30="Polski","Połączenie dwóch form reklamowych","Mixing two ads")</f>
        <v>Połączenie dwóch form reklamowych</v>
      </c>
      <c r="C27" s="1012"/>
      <c r="D27" s="294" t="str">
        <f>IF('Język - Language'!$B$30="Polski","łącznie 150% ceny droższej formy","total of 150% of the price of most expensive format")</f>
        <v>łącznie 150% ceny droższej formy</v>
      </c>
      <c r="E27" s="353"/>
      <c r="F27" s="156"/>
      <c r="G27" s="156"/>
      <c r="H27" s="156"/>
      <c r="I27" s="353"/>
      <c r="J27" s="353"/>
      <c r="K27" s="353"/>
      <c r="L27" s="353"/>
    </row>
    <row r="28" spans="2:12" ht="12.75" customHeight="1">
      <c r="B28" s="448" t="str">
        <f>IF('Język - Language'!$B$30="Polski","Site-takeover","Site-takeover")</f>
        <v>Site-takeover</v>
      </c>
      <c r="C28" s="449"/>
      <c r="D28" s="294" t="s">
        <v>186</v>
      </c>
      <c r="E28" s="353"/>
      <c r="F28" s="156"/>
      <c r="G28" s="156"/>
      <c r="H28" s="156"/>
      <c r="I28" s="353"/>
      <c r="J28" s="353"/>
      <c r="K28" s="353"/>
      <c r="L28" s="353"/>
    </row>
    <row r="29" spans="2:12" ht="12.75" customHeight="1">
      <c r="B29" s="831" t="str">
        <f>IF('Język - Language'!$B$30="Polski","Zmiana kreacji w trakcie trwania kampanii display i w mailingu","Changing creative in display and mailing")</f>
        <v>Zmiana kreacji w trakcie trwania kampanii display i w mailingu</v>
      </c>
      <c r="C29" s="832"/>
      <c r="D29" s="295" t="str">
        <f>IF('Język - Language'!$B$30="Polski","+10% za każdą kreację","+10% for each creative")</f>
        <v>+10% za każdą kreację</v>
      </c>
      <c r="E29" s="353"/>
      <c r="F29" s="156"/>
      <c r="G29" s="156"/>
      <c r="H29" s="156"/>
      <c r="I29" s="353"/>
      <c r="J29" s="353"/>
      <c r="K29" s="353"/>
      <c r="L29" s="353"/>
    </row>
    <row r="30" spans="2:12" s="283" customFormat="1" ht="12.75" customHeight="1">
      <c r="B30" s="829"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0" s="830"/>
      <c r="D30" s="335" t="s">
        <v>192</v>
      </c>
      <c r="E30" s="353"/>
      <c r="F30" s="156"/>
      <c r="G30" s="156"/>
      <c r="H30" s="156"/>
      <c r="I30" s="353"/>
      <c r="J30" s="353"/>
      <c r="K30" s="353"/>
      <c r="L30" s="353"/>
    </row>
    <row r="31" spans="2:12" s="118" customFormat="1" ht="12.75" customHeight="1">
      <c r="B31" s="1015" t="str">
        <f>IF('Język - Language'!$B$30="Polski","Wydłużenie spotu CPV powyżej standardowej długości","Extension of time of Instream Video Ad")</f>
        <v>Wydłużenie spotu CPV powyżej standardowej długości</v>
      </c>
      <c r="C31" s="1016"/>
      <c r="D31" s="296"/>
      <c r="E31" s="353"/>
      <c r="F31" s="70"/>
      <c r="G31" s="353"/>
      <c r="H31" s="353"/>
      <c r="I31" s="353"/>
      <c r="J31" s="353"/>
      <c r="K31" s="353"/>
      <c r="L31" s="353"/>
    </row>
    <row r="32" spans="2:12" s="118" customFormat="1" ht="12.75" customHeight="1">
      <c r="B32" s="297"/>
      <c r="C32" s="298" t="str">
        <f>IF('Język - Language'!$B$30="Polski",CONCATENATE("do 35",CHAR(34)),CONCATENATE("up to 35",CHAR(34)))</f>
        <v>do 35"</v>
      </c>
      <c r="D32" s="296" t="s">
        <v>197</v>
      </c>
      <c r="E32" s="353"/>
      <c r="F32" s="70"/>
      <c r="G32" s="353"/>
      <c r="H32" s="353"/>
      <c r="I32" s="353"/>
      <c r="J32" s="353"/>
      <c r="K32" s="353"/>
      <c r="L32" s="353"/>
    </row>
    <row r="33" spans="1:6" s="118" customFormat="1" ht="12.75" customHeight="1">
      <c r="A33" s="353"/>
      <c r="B33" s="297"/>
      <c r="C33" s="298" t="str">
        <f>IF('Język - Language'!$B$30="Polski",CONCATENATE("do 40",CHAR(34)),CONCATENATE("up to 40",CHAR(34)))</f>
        <v>do 40"</v>
      </c>
      <c r="D33" s="296" t="s">
        <v>192</v>
      </c>
      <c r="E33" s="353"/>
      <c r="F33" s="70"/>
    </row>
    <row r="34" spans="1:6" s="118" customFormat="1" ht="12.75" customHeight="1">
      <c r="A34" s="353"/>
      <c r="B34" s="297"/>
      <c r="C34" s="298" t="str">
        <f>IF('Język - Language'!$B$30="Polski",CONCATENATE("do 45",CHAR(34)),CONCATENATE("up to 45",CHAR(34)))</f>
        <v>do 45"</v>
      </c>
      <c r="D34" s="296" t="s">
        <v>195</v>
      </c>
      <c r="E34" s="353"/>
      <c r="F34" s="70"/>
    </row>
    <row r="35" spans="1:6" s="118" customFormat="1" ht="12.75" customHeight="1">
      <c r="A35" s="353"/>
      <c r="B35" s="297"/>
      <c r="C35" s="298" t="str">
        <f>IF('Język - Language'!$B$30="Polski",CONCATENATE("do 50",CHAR(34)),CONCATENATE("up to 50",CHAR(34)))</f>
        <v>do 50"</v>
      </c>
      <c r="D35" s="296" t="s">
        <v>191</v>
      </c>
      <c r="E35" s="353"/>
      <c r="F35" s="70"/>
    </row>
    <row r="36" spans="1:6" s="118" customFormat="1" ht="12.75" customHeight="1">
      <c r="A36" s="353"/>
      <c r="B36" s="297"/>
      <c r="C36" s="298" t="str">
        <f>IF('Język - Language'!$B$30="Polski",CONCATENATE("do 55",CHAR(34)),CONCATENATE("up to 55",CHAR(34)))</f>
        <v>do 55"</v>
      </c>
      <c r="D36" s="296" t="s">
        <v>198</v>
      </c>
      <c r="E36" s="353"/>
      <c r="F36" s="70"/>
    </row>
    <row r="37" spans="1:6" s="118" customFormat="1" ht="12.75" customHeight="1">
      <c r="A37" s="353"/>
      <c r="B37" s="297"/>
      <c r="C37" s="298" t="str">
        <f>IF('Język - Language'!$B$30="Polski",CONCATENATE("do 60",CHAR(34)),CONCATENATE("up to 60",CHAR(34)))</f>
        <v>do 60"</v>
      </c>
      <c r="D37" s="299" t="s">
        <v>186</v>
      </c>
      <c r="E37" s="353"/>
      <c r="F37" s="70"/>
    </row>
    <row r="38" spans="1:6" ht="12.75" customHeight="1">
      <c r="A38" s="353"/>
      <c r="B38" s="1017" t="str">
        <f>IF('Język - Language'!$B$30="Polski","Reklama piwa","Beer advertising")</f>
        <v>Reklama piwa</v>
      </c>
      <c r="C38" s="1017"/>
      <c r="D38" s="301" t="s">
        <v>199</v>
      </c>
      <c r="E38" s="353"/>
      <c r="F38" s="353"/>
    </row>
    <row r="39" spans="1:6" ht="12.75" customHeight="1">
      <c r="A39" s="353"/>
      <c r="B39" s="781" t="str">
        <f>IF('Język - Language'!$B$30="Polski","Targetowanie demograficzne","Demographic targeting")</f>
        <v>Targetowanie demograficzne</v>
      </c>
      <c r="C39" s="781"/>
      <c r="D39" s="294" t="str">
        <f>IF('Język - Language'!$B$30="Polski","+25% za każde kryterium","+25% for each criterion")</f>
        <v>+25% za każde kryterium</v>
      </c>
      <c r="E39" s="353"/>
      <c r="F39" s="77"/>
    </row>
    <row r="40" spans="1:6" ht="12.75" customHeight="1">
      <c r="A40" s="353"/>
      <c r="B40" s="1012" t="str">
        <f>IF('Język - Language'!$B$30="Polski","Targetowanie geograficzne","Geographic targeting")</f>
        <v>Targetowanie geograficzne</v>
      </c>
      <c r="C40" s="1012"/>
      <c r="D40" s="294" t="str">
        <f>IF('Język - Language'!$B$30="Polski","+50% za każde kryterium","+50% for each criterion")</f>
        <v>+50% za każde kryterium</v>
      </c>
      <c r="E40" s="353"/>
      <c r="F40" s="130"/>
    </row>
    <row r="41" spans="1:6" s="94" customFormat="1" ht="12.75" customHeight="1">
      <c r="A41" s="353"/>
      <c r="B41" s="1009" t="str">
        <f>IF('Język - Language'!$B$30="Polski","Targetowanie po kategoriach IAB (na wybranej powierzchni)","IAB categories targeting")</f>
        <v>Targetowanie po kategoriach IAB (na wybranej powierzchni)</v>
      </c>
      <c r="C41" s="1009"/>
      <c r="D41" s="294" t="str">
        <f>IF('Język - Language'!$B$30="Polski","+25% za każde kryterium","+25% for each criterion")</f>
        <v>+25% za każde kryterium</v>
      </c>
      <c r="E41" s="353"/>
      <c r="F41" s="78"/>
    </row>
    <row r="42" spans="1:6" ht="12.75" customHeight="1">
      <c r="A42" s="353"/>
      <c r="B42" s="1009" t="str">
        <f>IF('Język - Language'!$B$30="Polski","Retargetowanie","Retargeting")</f>
        <v>Retargetowanie</v>
      </c>
      <c r="C42" s="1009"/>
      <c r="D42" s="302" t="s">
        <v>186</v>
      </c>
      <c r="E42" s="22"/>
      <c r="F42" s="353"/>
    </row>
    <row r="43" spans="1:6" ht="12.75" customHeight="1">
      <c r="A43" s="353"/>
      <c r="B43" s="1012" t="str">
        <f>IF('Język - Language'!$B$30="Polski","Wybór emisji tylko na jednym portalu","Selecting either WP or O2 (display and mailing)")</f>
        <v>Wybór emisji tylko na jednym portalu</v>
      </c>
      <c r="C43" s="1012"/>
      <c r="D43" s="302" t="s">
        <v>192</v>
      </c>
      <c r="E43" s="353"/>
      <c r="F43" s="353"/>
    </row>
    <row r="44" spans="1:6" ht="12.75" customHeight="1">
      <c r="A44" s="353"/>
      <c r="B44" s="1012" t="str">
        <f>IF('Język - Language'!$B$30="Polski","Optymalizacja big data w mailingach","Big data optimalization")</f>
        <v>Optymalizacja big data w mailingach</v>
      </c>
      <c r="C44" s="1012"/>
      <c r="D44" s="303" t="s">
        <v>191</v>
      </c>
      <c r="E44" s="353"/>
      <c r="F44" s="353"/>
    </row>
    <row r="45" spans="1:6" ht="25.5" customHeight="1">
      <c r="A45" s="353"/>
      <c r="B45" s="826" t="str">
        <f>IF('Język - Language'!$B$30="Polski","DODATKOWE OPCJE W MAILINGU","MAILING ADDITIONAL OPTIONS")</f>
        <v>DODATKOWE OPCJE W MAILINGU</v>
      </c>
      <c r="C45" s="826"/>
      <c r="D45" s="446" t="str">
        <f>IF('Język - Language'!$B$30="Polski","DOPŁATA","EXTRA CHARGE")</f>
        <v>DOPŁATA</v>
      </c>
      <c r="E45" s="353"/>
      <c r="F45" s="353"/>
    </row>
    <row r="46" spans="1:6" ht="12.75" customHeight="1">
      <c r="A46" s="353"/>
      <c r="B46" s="781" t="str">
        <f>IF('Język - Language'!$B$30="Polski","Mailing do bazy użytkowników wybranego portalu (tylko o2.pl lub tylko WP.pl)","Advertising mailing to o2 email services only or WP email services only")</f>
        <v>Mailing do bazy użytkowników wybranego portalu (tylko o2.pl lub tylko WP.pl)</v>
      </c>
      <c r="C46" s="781"/>
      <c r="D46" s="300" t="s">
        <v>192</v>
      </c>
      <c r="E46" s="353"/>
      <c r="F46" s="353"/>
    </row>
    <row r="47" spans="1:6" ht="12.75" customHeight="1">
      <c r="A47" s="353"/>
      <c r="B47" s="566" t="str">
        <f>IF('Język - Language'!$B$30="Polski","Odznaczanie bazy mailingowej","Odznaczanie bazy mailingowej")</f>
        <v>Odznaczanie bazy mailingowej</v>
      </c>
      <c r="C47" s="568"/>
      <c r="D47" s="304" t="s">
        <v>191</v>
      </c>
      <c r="E47" s="353"/>
      <c r="F47" s="70"/>
    </row>
    <row r="48" spans="1:6" s="132" customFormat="1" ht="12.75" customHeight="1">
      <c r="A48" s="199"/>
      <c r="B48" s="566" t="str">
        <f>IF('Język - Language'!$B$30="Polski","Wysyłka mailingu w częściach - za drugą i każdą następną część","Mailing in parts - for second and every next part")</f>
        <v>Wysyłka mailingu w częściach - za drugą i każdą następną część</v>
      </c>
      <c r="C48" s="568"/>
      <c r="D48" s="302" t="s">
        <v>192</v>
      </c>
      <c r="E48" s="353"/>
      <c r="F48" s="353"/>
    </row>
    <row r="49" spans="1:7" s="132" customFormat="1" ht="12.75" customHeight="1">
      <c r="A49" s="199"/>
      <c r="B49" s="566" t="str">
        <f>IF('Język - Language'!$B$30="Polski","Retargetowanie mailingu","Retargeted mailing")</f>
        <v>Retargetowanie mailingu</v>
      </c>
      <c r="C49" s="568"/>
      <c r="D49" s="302" t="s">
        <v>186</v>
      </c>
      <c r="E49" s="353"/>
      <c r="F49" s="353"/>
      <c r="G49" s="353"/>
    </row>
    <row r="50" spans="1:7" s="132" customFormat="1" ht="12.75" customHeight="1">
      <c r="A50" s="199"/>
      <c r="B50" s="566" t="str">
        <f>IF('Język - Language'!$B$30="Polski","Personalizacja mailingu WP (login, imię, nazwisko)","Personalization in WP Mailing (login, name, surname)")</f>
        <v>Personalizacja mailingu WP (login, imię, nazwisko)</v>
      </c>
      <c r="C50" s="568"/>
      <c r="D50" s="302" t="s">
        <v>191</v>
      </c>
      <c r="E50" s="353"/>
      <c r="F50" s="353"/>
      <c r="G50" s="353"/>
    </row>
    <row r="51" spans="1:7" s="132" customFormat="1" ht="12.75" customHeight="1">
      <c r="A51" s="341"/>
      <c r="B51" s="566" t="str">
        <f>IF('Język - Language'!$B$30="Polski","Dopłata za TG dotyczący produktów alkoholowych (inne niż piwo)","Special target to advertise alcoholic products (other than beer)")</f>
        <v>Dopłata za TG dotyczący produktów alkoholowych (inne niż piwo)</v>
      </c>
      <c r="C51" s="568"/>
      <c r="D51" s="302" t="s">
        <v>191</v>
      </c>
      <c r="E51" s="353"/>
      <c r="F51" s="353"/>
      <c r="G51" s="353"/>
    </row>
    <row r="52" spans="1:7" s="132" customFormat="1" ht="12.75" customHeight="1">
      <c r="A52" s="341"/>
      <c r="B52" s="566" t="str">
        <f>IF('Język - Language'!$B$30="Polski","Podświetlenie / wyróżnienie","Backlighting / highlighting")</f>
        <v>Podświetlenie / wyróżnienie</v>
      </c>
      <c r="C52" s="568"/>
      <c r="D52" s="302" t="s">
        <v>186</v>
      </c>
      <c r="E52" s="353"/>
      <c r="F52" s="353"/>
      <c r="G52" s="353"/>
    </row>
    <row r="53" spans="1:7" s="132" customFormat="1" ht="12.75" customHeight="1">
      <c r="A53" s="341"/>
      <c r="B53" s="566" t="str">
        <f>IF('Język - Language'!$B$30="Polski","Mailing wysyłany na urządzenia mobilne","Mailing dispatched only to mobile devices")</f>
        <v>Mailing wysyłany na urządzenia mobilne</v>
      </c>
      <c r="C53" s="568"/>
      <c r="D53" s="302" t="s">
        <v>186</v>
      </c>
      <c r="E53" s="353"/>
      <c r="F53" s="353"/>
      <c r="G53" s="353"/>
    </row>
    <row r="54" spans="1:7" s="132" customFormat="1" ht="12.75" customHeight="1">
      <c r="A54" s="341"/>
      <c r="B54" s="566" t="str">
        <f>IF('Język - Language'!$B$30="Polski","Dopłata za dodatkowe 10kB","Additional 10kB of ad weight")</f>
        <v>Dopłata za dodatkowe 10kB</v>
      </c>
      <c r="C54" s="568"/>
      <c r="D54" s="302" t="s">
        <v>200</v>
      </c>
      <c r="E54" s="353"/>
      <c r="F54" s="353"/>
      <c r="G54" s="353"/>
    </row>
    <row r="55" spans="1:7" s="132" customFormat="1" ht="12.75" customHeight="1">
      <c r="A55" s="341"/>
      <c r="B55" s="566" t="str">
        <f>IF('Język - Language'!$B$30="Polski","Video Mailing do 1,5 MB","Video Mailing up to 1,5 MB")</f>
        <v>Video Mailing do 1,5 MB</v>
      </c>
      <c r="C55" s="568"/>
      <c r="D55" s="302" t="s">
        <v>191</v>
      </c>
      <c r="E55" s="353"/>
      <c r="F55" s="353"/>
      <c r="G55" s="353"/>
    </row>
    <row r="56" spans="1:7" s="132" customFormat="1" ht="12.75" customHeight="1">
      <c r="A56" s="341"/>
      <c r="B56" s="831" t="str">
        <f>IF('Język - Language'!$B$30="Polski","Optymalizacja big data w mailingach","Big data optimization in Mailing")</f>
        <v>Optymalizacja big data w mailingach</v>
      </c>
      <c r="C56" s="832"/>
      <c r="D56" s="305" t="s">
        <v>191</v>
      </c>
      <c r="E56" s="353"/>
      <c r="F56" s="353"/>
      <c r="G56" s="353"/>
    </row>
    <row r="57" spans="1:7" s="132" customFormat="1" ht="12.75" customHeight="1">
      <c r="A57" s="353"/>
      <c r="B57" s="284"/>
      <c r="C57" s="284"/>
      <c r="D57" s="306"/>
      <c r="E57" s="353"/>
      <c r="F57" s="353"/>
      <c r="G57" s="353"/>
    </row>
    <row r="58" spans="1:7">
      <c r="A58" s="341"/>
      <c r="B58" s="1007" t="str">
        <f>IF('Język - Language'!$B$30="Polski","KRYTERIA TARGETOWANIA KAMPANII DISPLAY ORAZ MAILINGU","TARGETING CRITERIA FOR DISPLAY AND MAILING CAMPAIGNS")</f>
        <v>KRYTERIA TARGETOWANIA KAMPANII DISPLAY ORAZ MAILINGU</v>
      </c>
      <c r="C58" s="1007"/>
      <c r="D58" s="1008"/>
      <c r="E58" s="10"/>
      <c r="F58" s="10"/>
      <c r="G58" s="10"/>
    </row>
    <row r="59" spans="1:7" ht="21">
      <c r="A59" s="341"/>
      <c r="B59" s="491" t="str">
        <f>IF('Język - Language'!$B$30="Polski","TARGETOWANIE DEMOGRAFICZNE","DEMOGRAPHIC TARGETING")</f>
        <v>TARGETOWANIE DEMOGRAFICZNE</v>
      </c>
      <c r="C59" s="995" t="str">
        <f>IF('Język - Language'!$B$30="Polski","PARAMETRY TARGETOWANIA","TARGETING PARAMETERS")</f>
        <v>PARAMETRY TARGETOWANIA</v>
      </c>
      <c r="D59" s="996"/>
      <c r="E59" s="11"/>
      <c r="F59" s="11"/>
      <c r="G59" s="11"/>
    </row>
    <row r="60" spans="1:7">
      <c r="A60" s="353"/>
      <c r="B60" s="307" t="str">
        <f>IF('Język - Language'!$B$30="Polski","PŁEĆ","GENDER")</f>
        <v>PŁEĆ</v>
      </c>
      <c r="C60" s="1003" t="str">
        <f>IF('Język - Language'!$B$30="Polski","kobieta, mężczyzna","woman, man")</f>
        <v>kobieta, mężczyzna</v>
      </c>
      <c r="D60" s="1004"/>
      <c r="E60" s="71"/>
      <c r="F60" s="71"/>
      <c r="G60" s="71"/>
    </row>
    <row r="61" spans="1:7">
      <c r="A61" s="353"/>
      <c r="B61" s="308" t="str">
        <f>IF('Język - Language'!$B$30="Polski","WIEK","AGE")</f>
        <v>WIEK</v>
      </c>
      <c r="C61" s="997" t="str">
        <f>IF('Język - Language'!$B$30="Polski","dowolny przedział wiekowy","number of years")</f>
        <v>dowolny przedział wiekowy</v>
      </c>
      <c r="D61" s="998"/>
      <c r="E61" s="71"/>
      <c r="F61" s="71"/>
      <c r="G61" s="71"/>
    </row>
    <row r="62" spans="1:7">
      <c r="A62" s="353"/>
      <c r="B62" s="308" t="str">
        <f>IF('Język - Language'!$B$30="Polski","WYKSZTAŁCENIE","EDUCATION")</f>
        <v>WYKSZTAŁCENIE</v>
      </c>
      <c r="C62" s="1005" t="str">
        <f>IF('Język - Language'!$B$30="Polski","bez wykształcenia, podstawowe, zawodowe, średnie, wyższe","no education, basic, professional, high school, BA / MA")</f>
        <v>bez wykształcenia, podstawowe, zawodowe, średnie, wyższe</v>
      </c>
      <c r="D62" s="1006"/>
      <c r="E62" s="38"/>
      <c r="F62" s="38"/>
      <c r="G62" s="38"/>
    </row>
    <row r="63" spans="1:7" ht="36" customHeight="1">
      <c r="A63" s="353"/>
      <c r="B63" s="308" t="str">
        <f>IF('Język - Language'!$B$30="Polski","ZAWÓD","PROFESSION")</f>
        <v>ZAWÓD</v>
      </c>
      <c r="C63" s="1005"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3" s="1006"/>
      <c r="E63" s="38"/>
      <c r="F63" s="38"/>
      <c r="G63" s="38"/>
    </row>
    <row r="64" spans="1:7" ht="38.25" customHeight="1">
      <c r="A64" s="353"/>
      <c r="B64" s="308" t="str">
        <f>IF('Język - Language'!$B$30="Polski","ZAINTERESOWANIA","INTERESTS")</f>
        <v>ZAINTERESOWANIA</v>
      </c>
      <c r="C64" s="1005"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4" s="1006"/>
      <c r="E64" s="38"/>
      <c r="F64" s="38"/>
      <c r="G64" s="38"/>
    </row>
    <row r="65" spans="1:27" ht="57" customHeight="1">
      <c r="A65" s="353"/>
      <c r="B65" s="309" t="str">
        <f>IF('Język - Language'!$B$30="Polski","BRANŻA","OCCUPATIONAL AREA")</f>
        <v>BRANŻA</v>
      </c>
      <c r="C65" s="835" t="str">
        <f>CONCATENATE($AA$65,$AA$66)</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5" s="836"/>
      <c r="E65" s="38"/>
      <c r="F65" s="38"/>
      <c r="G65" s="38"/>
      <c r="H65" s="353"/>
      <c r="I65" s="353"/>
      <c r="J65" s="353"/>
      <c r="K65" s="353"/>
      <c r="L65" s="353"/>
      <c r="M65" s="353"/>
      <c r="N65" s="353"/>
      <c r="O65" s="353"/>
      <c r="P65" s="353"/>
      <c r="Q65" s="353"/>
      <c r="R65" s="353"/>
      <c r="S65" s="353"/>
      <c r="T65" s="353"/>
      <c r="U65" s="353"/>
      <c r="V65" s="353"/>
      <c r="W65" s="353"/>
      <c r="X65" s="353"/>
      <c r="Y65" s="353"/>
      <c r="Z65" s="353"/>
      <c r="AA65" s="353"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6" spans="1:27" ht="31.5">
      <c r="A66" s="353"/>
      <c r="B66" s="310" t="str">
        <f>IF('Język - Language'!$B$30="Polski","WIELKOŚĆ MIEJSCOWOŚCI* (tylko na serwisach WP)","POPULATION (applicable to WP sites)")</f>
        <v>WIELKOŚĆ MIEJSCOWOŚCI* (tylko na serwisach WP)</v>
      </c>
      <c r="C66" s="1001" t="str">
        <f>IF('Język - Language'!$B$30="Polski","wieś, do 50 tys., 50-100 tys., 100-500 tys., pow. 500 tys.","country, up to 50 k, 50-100 k, 100-500 k, more than 500 k")</f>
        <v>wieś, do 50 tys., 50-100 tys., 100-500 tys., pow. 500 tys.</v>
      </c>
      <c r="D66" s="1002"/>
      <c r="E66" s="38"/>
      <c r="F66" s="38"/>
      <c r="G66" s="38"/>
      <c r="H66" s="353"/>
      <c r="I66" s="353"/>
      <c r="J66" s="353"/>
      <c r="K66" s="353"/>
      <c r="L66" s="353"/>
      <c r="M66" s="353"/>
      <c r="N66" s="353"/>
      <c r="O66" s="353"/>
      <c r="P66" s="353"/>
      <c r="Q66" s="353"/>
      <c r="R66" s="353"/>
      <c r="S66" s="353"/>
      <c r="T66" s="353"/>
      <c r="U66" s="353"/>
      <c r="V66" s="353"/>
      <c r="W66" s="353"/>
      <c r="X66" s="353"/>
      <c r="Y66" s="353"/>
      <c r="Z66" s="353"/>
      <c r="AA66" s="353"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7" spans="1:27" ht="21">
      <c r="A67" s="341"/>
      <c r="B67" s="491" t="str">
        <f>IF('Język - Language'!$B$30="Polski","TARGETOWANIE GEOGRAFICZNE","GEOTARGETING")</f>
        <v>TARGETOWANIE GEOGRAFICZNE</v>
      </c>
      <c r="C67" s="995" t="str">
        <f>IF('Język - Language'!$B$30="Polski","PARAMETRY TARGETOWANIA","TARGETING PARAMETERS")</f>
        <v>PARAMETRY TARGETOWANIA</v>
      </c>
      <c r="D67" s="996"/>
      <c r="E67" s="10"/>
      <c r="F67" s="10"/>
      <c r="G67" s="10"/>
      <c r="H67" s="353"/>
      <c r="I67" s="353"/>
      <c r="J67" s="353"/>
      <c r="K67" s="353"/>
      <c r="L67" s="353"/>
      <c r="M67" s="353"/>
      <c r="N67" s="353"/>
      <c r="O67" s="353"/>
      <c r="P67" s="353"/>
      <c r="Q67" s="353"/>
      <c r="R67" s="353"/>
      <c r="S67" s="353"/>
      <c r="T67" s="353"/>
      <c r="U67" s="353"/>
      <c r="V67" s="353"/>
      <c r="W67" s="353"/>
      <c r="X67" s="353"/>
      <c r="Y67" s="353"/>
      <c r="Z67" s="353"/>
      <c r="AA67" s="353"/>
    </row>
    <row r="68" spans="1:27">
      <c r="A68" s="353"/>
      <c r="B68" s="307" t="str">
        <f>IF('Język - Language'!$B$30="Polski","WOJEWÓDZTWO","PROVINCE")</f>
        <v>WOJEWÓDZTWO</v>
      </c>
      <c r="C68" s="999" t="str">
        <f>IF('Język - Language'!$B$30="Polski","wybrane województwo","selected province")</f>
        <v>wybrane województwo</v>
      </c>
      <c r="D68" s="1000"/>
      <c r="E68" s="72"/>
      <c r="F68" s="72"/>
      <c r="G68" s="72"/>
      <c r="H68" s="353"/>
      <c r="I68" s="353"/>
      <c r="J68" s="353"/>
      <c r="K68" s="353"/>
      <c r="L68" s="353"/>
      <c r="M68" s="353"/>
      <c r="N68" s="353"/>
      <c r="O68" s="353"/>
      <c r="P68" s="353"/>
      <c r="Q68" s="353"/>
      <c r="R68" s="353"/>
      <c r="S68" s="353"/>
      <c r="T68" s="353"/>
      <c r="U68" s="353"/>
      <c r="V68" s="353"/>
      <c r="W68" s="353"/>
      <c r="X68" s="353"/>
      <c r="Y68" s="353"/>
      <c r="Z68" s="353"/>
      <c r="AA68" s="353"/>
    </row>
    <row r="69" spans="1:27">
      <c r="A69" s="353"/>
      <c r="B69" s="308" t="str">
        <f>IF('Język - Language'!$B$30="Polski","MIASTO","CITY")</f>
        <v>MIASTO</v>
      </c>
      <c r="C69" s="993" t="str">
        <f>IF('Język - Language'!$B$30="Polski","wybrane miasto","selected city")</f>
        <v>wybrane miasto</v>
      </c>
      <c r="D69" s="994"/>
      <c r="E69" s="72"/>
      <c r="F69" s="72"/>
      <c r="G69" s="72"/>
      <c r="H69" s="353"/>
      <c r="I69" s="353"/>
      <c r="J69" s="353"/>
      <c r="K69" s="353"/>
      <c r="L69" s="353"/>
      <c r="M69" s="353"/>
      <c r="N69" s="353"/>
      <c r="O69" s="353"/>
      <c r="P69" s="353"/>
      <c r="Q69" s="353"/>
      <c r="R69" s="353"/>
      <c r="S69" s="353"/>
      <c r="T69" s="353"/>
      <c r="U69" s="353"/>
      <c r="V69" s="353"/>
      <c r="W69" s="353"/>
      <c r="X69" s="353"/>
      <c r="Y69" s="353"/>
      <c r="Z69" s="353"/>
      <c r="AA69" s="353"/>
    </row>
    <row r="70" spans="1:27">
      <c r="A70" s="353"/>
      <c r="B70" s="419"/>
      <c r="C70" s="419"/>
      <c r="D70" s="419"/>
      <c r="E70" s="353"/>
      <c r="F70" s="353"/>
      <c r="G70" s="353"/>
      <c r="H70" s="353"/>
      <c r="I70" s="353"/>
      <c r="J70" s="353"/>
      <c r="K70" s="353"/>
      <c r="L70" s="353"/>
      <c r="M70" s="353"/>
      <c r="N70" s="353"/>
      <c r="O70" s="353"/>
      <c r="P70" s="353"/>
      <c r="Q70" s="353"/>
      <c r="R70" s="353"/>
      <c r="S70" s="353"/>
      <c r="T70" s="353"/>
      <c r="U70" s="353"/>
      <c r="V70" s="353"/>
      <c r="W70" s="353"/>
      <c r="X70" s="353"/>
      <c r="Y70" s="353"/>
      <c r="Z70" s="353"/>
      <c r="AA70" s="353"/>
    </row>
    <row r="71" spans="1:27">
      <c r="A71" s="353"/>
      <c r="B71" s="1018"/>
      <c r="C71" s="1018"/>
      <c r="D71" s="1018"/>
      <c r="E71" s="353"/>
      <c r="F71" s="353"/>
      <c r="G71" s="353"/>
      <c r="H71" s="353"/>
      <c r="I71" s="353"/>
      <c r="J71" s="353"/>
      <c r="K71" s="353"/>
      <c r="L71" s="353"/>
      <c r="M71" s="353"/>
      <c r="N71" s="353"/>
      <c r="O71" s="353"/>
      <c r="P71" s="353"/>
      <c r="Q71" s="353"/>
      <c r="R71" s="353"/>
      <c r="S71" s="353"/>
      <c r="T71" s="353"/>
      <c r="U71" s="353"/>
      <c r="V71" s="353"/>
      <c r="W71" s="353"/>
      <c r="X71" s="353"/>
      <c r="Y71" s="353"/>
      <c r="Z71" s="353"/>
      <c r="AA71" s="353"/>
    </row>
    <row r="72" spans="1:27" ht="12.75" customHeight="1">
      <c r="A72" s="353"/>
      <c r="B72" s="992"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72" s="992"/>
      <c r="D72" s="992"/>
      <c r="E72" s="353"/>
      <c r="F72" s="353"/>
      <c r="G72" s="353"/>
      <c r="H72" s="353"/>
      <c r="I72" s="353"/>
      <c r="J72" s="353"/>
      <c r="K72" s="353"/>
      <c r="L72" s="353"/>
      <c r="M72" s="353"/>
      <c r="N72" s="353"/>
      <c r="O72" s="353"/>
      <c r="P72" s="353"/>
      <c r="Q72" s="353"/>
      <c r="R72" s="353"/>
      <c r="S72" s="353"/>
      <c r="T72" s="353"/>
      <c r="U72" s="353"/>
      <c r="V72" s="353"/>
      <c r="W72" s="353"/>
      <c r="X72" s="353"/>
      <c r="Y72" s="353"/>
      <c r="Z72" s="353"/>
      <c r="AA72" s="353"/>
    </row>
    <row r="73" spans="1:27" ht="25.5" customHeight="1">
      <c r="A73" s="353"/>
      <c r="B73" s="992"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73" s="992"/>
      <c r="D73" s="992"/>
      <c r="E73" s="353"/>
      <c r="F73" s="353"/>
      <c r="G73" s="353"/>
      <c r="H73" s="353"/>
      <c r="I73" s="353"/>
      <c r="J73" s="353"/>
      <c r="K73" s="353"/>
      <c r="L73" s="353"/>
      <c r="M73" s="353"/>
      <c r="N73" s="353"/>
      <c r="O73" s="353"/>
      <c r="P73" s="353"/>
      <c r="Q73" s="353"/>
      <c r="R73" s="353"/>
      <c r="S73" s="353"/>
      <c r="T73" s="353"/>
      <c r="U73" s="353"/>
      <c r="V73" s="353"/>
      <c r="W73" s="353"/>
      <c r="X73" s="353"/>
      <c r="Y73" s="353"/>
      <c r="Z73" s="353"/>
      <c r="AA73" s="353"/>
    </row>
    <row r="74" spans="1:27" ht="25.5" customHeight="1">
      <c r="A74" s="353"/>
      <c r="B74" s="992"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74" s="992"/>
      <c r="D74" s="992"/>
      <c r="E74" s="353"/>
      <c r="F74" s="353"/>
      <c r="G74" s="353"/>
      <c r="H74" s="353"/>
      <c r="I74" s="353"/>
      <c r="J74" s="353"/>
      <c r="K74" s="353"/>
      <c r="L74" s="353"/>
      <c r="M74" s="353"/>
      <c r="N74" s="353"/>
      <c r="O74" s="353"/>
      <c r="P74" s="353"/>
      <c r="Q74" s="353"/>
      <c r="R74" s="353"/>
      <c r="S74" s="353"/>
      <c r="T74" s="353"/>
      <c r="U74" s="353"/>
      <c r="V74" s="353"/>
      <c r="W74" s="353"/>
      <c r="X74" s="353"/>
      <c r="Y74" s="353"/>
      <c r="Z74" s="353"/>
      <c r="AA74" s="353"/>
    </row>
    <row r="75" spans="1:27" ht="12.75" customHeight="1">
      <c r="A75" s="353"/>
      <c r="B75" s="992"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75" s="992"/>
      <c r="D75" s="992"/>
      <c r="E75" s="353"/>
      <c r="F75" s="353"/>
      <c r="G75" s="353"/>
      <c r="H75" s="353"/>
      <c r="I75" s="353"/>
      <c r="J75" s="353"/>
      <c r="K75" s="353"/>
      <c r="L75" s="353"/>
      <c r="M75" s="353"/>
      <c r="N75" s="353"/>
      <c r="O75" s="353"/>
      <c r="P75" s="353"/>
      <c r="Q75" s="353"/>
      <c r="R75" s="353"/>
      <c r="S75" s="353"/>
      <c r="T75" s="353"/>
      <c r="U75" s="353"/>
      <c r="V75" s="353"/>
      <c r="W75" s="353"/>
      <c r="X75" s="353"/>
      <c r="Y75" s="353"/>
      <c r="Z75" s="353"/>
      <c r="AA75" s="353"/>
    </row>
    <row r="76" spans="1:27" ht="25.5" customHeight="1">
      <c r="A76" s="353"/>
      <c r="B76" s="992"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76" s="992"/>
      <c r="D76" s="992"/>
      <c r="E76" s="353"/>
      <c r="F76" s="353"/>
      <c r="G76" s="353"/>
      <c r="H76" s="353"/>
      <c r="I76" s="353"/>
      <c r="J76" s="353"/>
      <c r="K76" s="353"/>
      <c r="L76" s="353"/>
      <c r="M76" s="353"/>
      <c r="N76" s="353"/>
      <c r="O76" s="353"/>
      <c r="P76" s="353"/>
      <c r="Q76" s="353"/>
      <c r="R76" s="353"/>
      <c r="S76" s="353"/>
      <c r="T76" s="353"/>
      <c r="U76" s="353"/>
      <c r="V76" s="353"/>
      <c r="W76" s="353"/>
      <c r="X76" s="353"/>
      <c r="Y76" s="353"/>
      <c r="Z76" s="353"/>
      <c r="AA76" s="353"/>
    </row>
  </sheetData>
  <mergeCells count="72">
    <mergeCell ref="I11:K11"/>
    <mergeCell ref="I12:K12"/>
    <mergeCell ref="I21:K21"/>
    <mergeCell ref="B43:C43"/>
    <mergeCell ref="I14:K14"/>
    <mergeCell ref="B17:C17"/>
    <mergeCell ref="I13:K13"/>
    <mergeCell ref="B20:C20"/>
    <mergeCell ref="B41:C41"/>
    <mergeCell ref="B14:C14"/>
    <mergeCell ref="B30:C30"/>
    <mergeCell ref="B12:C12"/>
    <mergeCell ref="B27:C27"/>
    <mergeCell ref="B16:C16"/>
    <mergeCell ref="B13:C13"/>
    <mergeCell ref="B18:C18"/>
    <mergeCell ref="B76:D76"/>
    <mergeCell ref="B71:D71"/>
    <mergeCell ref="B72:D72"/>
    <mergeCell ref="B73:D73"/>
    <mergeCell ref="B54:C54"/>
    <mergeCell ref="C67:D67"/>
    <mergeCell ref="C63:D63"/>
    <mergeCell ref="B56:C56"/>
    <mergeCell ref="B75:D75"/>
    <mergeCell ref="B44:C44"/>
    <mergeCell ref="B23:C23"/>
    <mergeCell ref="I16:K16"/>
    <mergeCell ref="I22:K22"/>
    <mergeCell ref="I19:K19"/>
    <mergeCell ref="B19:C19"/>
    <mergeCell ref="I18:K18"/>
    <mergeCell ref="I20:K20"/>
    <mergeCell ref="B40:C40"/>
    <mergeCell ref="B31:C31"/>
    <mergeCell ref="B38:C38"/>
    <mergeCell ref="B29:C29"/>
    <mergeCell ref="B39:C39"/>
    <mergeCell ref="B42:C42"/>
    <mergeCell ref="B26:C26"/>
    <mergeCell ref="B25:C25"/>
    <mergeCell ref="B15:C15"/>
    <mergeCell ref="B24:C24"/>
    <mergeCell ref="B21:C21"/>
    <mergeCell ref="B22:C22"/>
    <mergeCell ref="C1:D3"/>
    <mergeCell ref="B9:C9"/>
    <mergeCell ref="B7:C7"/>
    <mergeCell ref="B10:C10"/>
    <mergeCell ref="B11:C11"/>
    <mergeCell ref="B8:C8"/>
    <mergeCell ref="B51:C51"/>
    <mergeCell ref="B52:C52"/>
    <mergeCell ref="B48:C48"/>
    <mergeCell ref="B49:C49"/>
    <mergeCell ref="B50:C50"/>
    <mergeCell ref="B53:C53"/>
    <mergeCell ref="B45:C45"/>
    <mergeCell ref="B46:C46"/>
    <mergeCell ref="B74:D74"/>
    <mergeCell ref="B47:C47"/>
    <mergeCell ref="C69:D69"/>
    <mergeCell ref="C59:D59"/>
    <mergeCell ref="C61:D61"/>
    <mergeCell ref="C65:D65"/>
    <mergeCell ref="C68:D68"/>
    <mergeCell ref="B55:C55"/>
    <mergeCell ref="C66:D66"/>
    <mergeCell ref="C60:D60"/>
    <mergeCell ref="C62:D62"/>
    <mergeCell ref="B58:D58"/>
    <mergeCell ref="C64:D64"/>
  </mergeCells>
  <pageMargins left="0.7" right="0.7" top="0.75" bottom="0.75" header="0.3" footer="0.3"/>
  <pageSetup paperSize="256" scale="80" fitToHeight="0" orientation="portrait" r:id="rId1"/>
  <ignoredErrors>
    <ignoredError sqref="D43:D44 D8:D15 D42 D28 D32:D37 D46:D51 D52:D53 D55:D56 D16:D25 D30" numberStoredAsText="1"/>
    <ignoredError sqref="D4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 Cross-Device</vt:lpstr>
      <vt:lpstr>Mobile</vt:lpstr>
      <vt:lpstr>Flat Fee</vt:lpstr>
      <vt:lpstr>Poczta - Email service</vt:lpstr>
      <vt:lpstr>Serwisy &amp; Pakiety</vt:lpstr>
      <vt:lpstr>Wideo &amp; Audio</vt:lpstr>
      <vt:lpstr>DataPower</vt:lpstr>
      <vt:lpstr>Dopłaty - Extra charges</vt:lpstr>
      <vt:lpstr>Docs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2019-01-17T08:43:49Z</dcterms:modified>
</cp:coreProperties>
</file>