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codeName="Ten_skoroszyt"/>
  <bookViews>
    <workbookView xWindow="0" yWindow="0" windowWidth="18765" windowHeight="7710" tabRatio="851"/>
  </bookViews>
  <sheets>
    <sheet name="Język - Language" sheetId="15" r:id="rId1"/>
    <sheet name="Multiscreen. Cross-Device" sheetId="8" r:id="rId2"/>
    <sheet name="Mobile" sheetId="16" r:id="rId3"/>
    <sheet name="Flat Fee" sheetId="10" r:id="rId4"/>
    <sheet name="Poczta - Email service" sheetId="11" r:id="rId5"/>
    <sheet name="Serwisy &amp; Pakiety" sheetId="12" r:id="rId6"/>
    <sheet name="Wideo &amp; Audio" sheetId="4" r:id="rId7"/>
    <sheet name="DataPower" sheetId="3" r:id="rId8"/>
    <sheet name="Dopłaty - Extra charges" sheetId="2" r:id="rId9"/>
    <sheet name="Docs" sheetId="13" r:id="rId10"/>
  </sheets>
  <calcPr calcId="145621"/>
</workbook>
</file>

<file path=xl/calcChain.xml><?xml version="1.0" encoding="utf-8"?>
<calcChain xmlns="http://schemas.openxmlformats.org/spreadsheetml/2006/main">
  <c r="C58" i="12" l="1"/>
  <c r="C86" i="12" l="1"/>
  <c r="C83" i="12"/>
  <c r="C66" i="12"/>
  <c r="C56" i="12"/>
  <c r="G84" i="12"/>
  <c r="D84" i="12"/>
  <c r="C84" i="12"/>
  <c r="C93" i="12"/>
  <c r="C46" i="12"/>
  <c r="G47" i="12"/>
  <c r="G9" i="10" l="1"/>
  <c r="F62" i="8" l="1"/>
  <c r="F11" i="8"/>
  <c r="C19" i="16" l="1"/>
  <c r="C8" i="15" l="1"/>
  <c r="C47" i="16" l="1"/>
  <c r="C46" i="16"/>
  <c r="O55" i="16"/>
  <c r="O56" i="16"/>
  <c r="O57" i="16"/>
  <c r="O58" i="16"/>
  <c r="O59" i="16"/>
  <c r="O60" i="16"/>
  <c r="N55" i="16"/>
  <c r="N56" i="16"/>
  <c r="N57" i="16"/>
  <c r="N58" i="16"/>
  <c r="N59" i="16"/>
  <c r="N60" i="16"/>
  <c r="M55" i="16"/>
  <c r="M56" i="16"/>
  <c r="M57" i="16"/>
  <c r="M58" i="16"/>
  <c r="M59" i="16"/>
  <c r="M60" i="16"/>
  <c r="L55" i="16"/>
  <c r="L56" i="16"/>
  <c r="L57" i="16"/>
  <c r="L58" i="16"/>
  <c r="L59" i="16"/>
  <c r="L60" i="16"/>
  <c r="K55" i="16"/>
  <c r="K56" i="16"/>
  <c r="K57" i="16"/>
  <c r="K58" i="16"/>
  <c r="K59" i="16"/>
  <c r="K60" i="16"/>
  <c r="J55" i="16"/>
  <c r="J56" i="16"/>
  <c r="J57" i="16"/>
  <c r="J58" i="16"/>
  <c r="J59" i="16"/>
  <c r="J60" i="16"/>
  <c r="I55" i="16"/>
  <c r="I56" i="16"/>
  <c r="I57" i="16"/>
  <c r="I58" i="16"/>
  <c r="I59" i="16"/>
  <c r="I60" i="16"/>
  <c r="H55" i="16"/>
  <c r="H56" i="16"/>
  <c r="H57" i="16"/>
  <c r="H58" i="16"/>
  <c r="H59" i="16"/>
  <c r="H60" i="16"/>
  <c r="G55" i="16"/>
  <c r="G56" i="16"/>
  <c r="G57" i="16"/>
  <c r="G58" i="16"/>
  <c r="G59" i="16"/>
  <c r="G60" i="16"/>
  <c r="F55" i="16"/>
  <c r="F56" i="16"/>
  <c r="F57" i="16"/>
  <c r="F58" i="16"/>
  <c r="F59" i="16"/>
  <c r="F60" i="16"/>
  <c r="F61" i="16"/>
  <c r="F62" i="16"/>
  <c r="F63" i="16"/>
  <c r="O54" i="16"/>
  <c r="N54" i="16"/>
  <c r="M54" i="16"/>
  <c r="L54" i="16"/>
  <c r="K54" i="16"/>
  <c r="J54" i="16"/>
  <c r="I54" i="16"/>
  <c r="H54" i="16"/>
  <c r="G54" i="16"/>
  <c r="F54" i="16"/>
  <c r="O53" i="16" l="1"/>
  <c r="N53" i="16"/>
  <c r="J53" i="16"/>
  <c r="K53" i="16"/>
  <c r="L53" i="16"/>
  <c r="M53" i="16"/>
  <c r="I53" i="16"/>
  <c r="H53" i="16"/>
  <c r="G53" i="16"/>
  <c r="F53" i="16"/>
  <c r="D63" i="16"/>
  <c r="D62" i="16"/>
  <c r="D61" i="16"/>
  <c r="D60" i="16"/>
  <c r="D59" i="16"/>
  <c r="D58" i="16"/>
  <c r="D57" i="16"/>
  <c r="D56" i="16"/>
  <c r="D55" i="16"/>
  <c r="D54" i="16"/>
  <c r="C55" i="16"/>
  <c r="C56" i="16"/>
  <c r="C57" i="16"/>
  <c r="C58" i="16"/>
  <c r="C59" i="16"/>
  <c r="C60" i="16"/>
  <c r="C61" i="16"/>
  <c r="C62" i="16"/>
  <c r="C63" i="16"/>
  <c r="C54" i="16"/>
  <c r="N52" i="16"/>
  <c r="F52" i="16"/>
  <c r="N51" i="16"/>
  <c r="L51" i="16"/>
  <c r="J51" i="16"/>
  <c r="H51" i="16"/>
  <c r="F51" i="16"/>
  <c r="D51" i="16"/>
  <c r="C51" i="16"/>
  <c r="B30" i="15"/>
  <c r="M37" i="16"/>
  <c r="M38" i="16"/>
  <c r="M39" i="16"/>
  <c r="M40" i="16"/>
  <c r="M41" i="16"/>
  <c r="M42" i="16"/>
  <c r="M43" i="16"/>
  <c r="L37" i="16"/>
  <c r="L38" i="16"/>
  <c r="L39" i="16"/>
  <c r="L40" i="16"/>
  <c r="L41" i="16"/>
  <c r="L42" i="16"/>
  <c r="L43" i="16"/>
  <c r="M36" i="16"/>
  <c r="L36" i="16"/>
  <c r="M35" i="16"/>
  <c r="L35" i="16"/>
  <c r="K37" i="16"/>
  <c r="K38" i="16"/>
  <c r="K39" i="16"/>
  <c r="K40" i="16"/>
  <c r="K41" i="16"/>
  <c r="K42" i="16"/>
  <c r="K43" i="16"/>
  <c r="J37" i="16"/>
  <c r="J38" i="16"/>
  <c r="J39" i="16"/>
  <c r="J40" i="16"/>
  <c r="J41" i="16"/>
  <c r="J42" i="16"/>
  <c r="J43" i="16"/>
  <c r="K36" i="16"/>
  <c r="J36" i="16"/>
  <c r="K35" i="16"/>
  <c r="J35" i="16"/>
  <c r="M33" i="16"/>
  <c r="L33" i="16"/>
  <c r="M32" i="16"/>
  <c r="L32" i="16"/>
  <c r="K33" i="16"/>
  <c r="J33" i="16"/>
  <c r="K32" i="16"/>
  <c r="J32" i="16"/>
  <c r="I37" i="16"/>
  <c r="I38" i="16"/>
  <c r="I39" i="16"/>
  <c r="I40" i="16"/>
  <c r="I41" i="16"/>
  <c r="I42" i="16"/>
  <c r="I43" i="16"/>
  <c r="H37" i="16"/>
  <c r="H38" i="16"/>
  <c r="H39" i="16"/>
  <c r="H40" i="16"/>
  <c r="H41" i="16"/>
  <c r="H42" i="16"/>
  <c r="H43" i="16"/>
  <c r="I36" i="16"/>
  <c r="H36" i="16"/>
  <c r="I35" i="16"/>
  <c r="H35" i="16"/>
  <c r="I33" i="16"/>
  <c r="H33" i="16"/>
  <c r="I32" i="16"/>
  <c r="F37" i="16"/>
  <c r="F38" i="16"/>
  <c r="F39" i="16"/>
  <c r="F40" i="16"/>
  <c r="F41" i="16"/>
  <c r="F42" i="16"/>
  <c r="F43" i="16"/>
  <c r="G37" i="16"/>
  <c r="G38" i="16"/>
  <c r="G39" i="16"/>
  <c r="G40" i="16"/>
  <c r="G41" i="16"/>
  <c r="G42" i="16"/>
  <c r="G43" i="16"/>
  <c r="G36" i="16"/>
  <c r="F36" i="16"/>
  <c r="G35" i="16"/>
  <c r="F35" i="16"/>
  <c r="F34" i="16"/>
  <c r="G33" i="16"/>
  <c r="F33" i="16"/>
  <c r="G32" i="16"/>
  <c r="L29" i="16"/>
  <c r="C34" i="16"/>
  <c r="C33" i="16"/>
  <c r="J22" i="16"/>
  <c r="J21" i="16"/>
  <c r="L14" i="16"/>
  <c r="G27" i="12"/>
  <c r="K27" i="12" s="1"/>
  <c r="H21" i="16"/>
  <c r="C59" i="12"/>
  <c r="C16" i="8"/>
  <c r="E53" i="10"/>
  <c r="I95" i="8"/>
  <c r="C13" i="8"/>
  <c r="C19" i="11"/>
  <c r="F106" i="8"/>
  <c r="B77" i="8"/>
  <c r="F63" i="10"/>
  <c r="H10" i="10"/>
  <c r="F100" i="8"/>
  <c r="C95" i="8"/>
  <c r="B53" i="8"/>
  <c r="F34" i="8"/>
  <c r="J8" i="8"/>
  <c r="L11" i="16" s="1"/>
  <c r="D57" i="10"/>
  <c r="C13" i="11"/>
  <c r="N26" i="12"/>
  <c r="K31" i="16" s="1"/>
  <c r="F98" i="8"/>
  <c r="I82" i="8"/>
  <c r="F63" i="8"/>
  <c r="B51" i="8"/>
  <c r="F43" i="8"/>
  <c r="C19" i="8"/>
  <c r="J4" i="8"/>
  <c r="E54" i="10"/>
  <c r="H14" i="16" s="1"/>
  <c r="D13" i="10"/>
  <c r="H34" i="11"/>
  <c r="E8" i="11"/>
  <c r="D28" i="12"/>
  <c r="M23" i="12"/>
  <c r="J29" i="16" s="1"/>
  <c r="C18" i="4"/>
  <c r="D12" i="4"/>
  <c r="D7" i="4"/>
  <c r="B4" i="3"/>
  <c r="C67" i="2"/>
  <c r="B63" i="2"/>
  <c r="B56" i="2"/>
  <c r="D45" i="2"/>
  <c r="B38" i="2"/>
  <c r="B29" i="2"/>
  <c r="B20" i="2"/>
  <c r="B9" i="2"/>
  <c r="B106" i="8"/>
  <c r="B103" i="8"/>
  <c r="B100" i="8"/>
  <c r="B98" i="8"/>
  <c r="B97" i="8"/>
  <c r="G95" i="8"/>
  <c r="I84" i="8"/>
  <c r="I81" i="8"/>
  <c r="B76" i="8"/>
  <c r="B67" i="8"/>
  <c r="B65" i="8"/>
  <c r="B63" i="8"/>
  <c r="J60" i="8"/>
  <c r="B56" i="8"/>
  <c r="F50" i="8"/>
  <c r="F46" i="8"/>
  <c r="B43" i="8"/>
  <c r="B41" i="8"/>
  <c r="C36" i="8"/>
  <c r="C34" i="8"/>
  <c r="C31" i="8"/>
  <c r="F24" i="8"/>
  <c r="C15" i="8"/>
  <c r="F12" i="8"/>
  <c r="I8" i="8"/>
  <c r="J11" i="16" s="1"/>
  <c r="E63" i="10"/>
  <c r="F59" i="10"/>
  <c r="E56" i="10"/>
  <c r="H16" i="16" s="1"/>
  <c r="D54" i="10"/>
  <c r="D53" i="10"/>
  <c r="E43" i="10"/>
  <c r="C22" i="10"/>
  <c r="C13" i="10"/>
  <c r="H9" i="10"/>
  <c r="D8" i="10"/>
  <c r="E11" i="16" s="1"/>
  <c r="E34" i="11"/>
  <c r="C23" i="11"/>
  <c r="C18" i="11"/>
  <c r="C11" i="11"/>
  <c r="E21" i="16" s="1"/>
  <c r="C7" i="11"/>
  <c r="G60" i="12"/>
  <c r="C103" i="12"/>
  <c r="C95" i="12"/>
  <c r="D79" i="12"/>
  <c r="C40" i="12"/>
  <c r="C36" i="12"/>
  <c r="C41" i="16" s="1"/>
  <c r="C32" i="12"/>
  <c r="C37" i="16" s="1"/>
  <c r="J26" i="12"/>
  <c r="I31" i="16" s="1"/>
  <c r="I22" i="12"/>
  <c r="G9" i="12"/>
  <c r="C22" i="4"/>
  <c r="C16" i="4"/>
  <c r="I9" i="4"/>
  <c r="B74" i="2"/>
  <c r="B66" i="2"/>
  <c r="B61" i="2"/>
  <c r="B52" i="2"/>
  <c r="B42" i="2"/>
  <c r="C34" i="2"/>
  <c r="D26" i="2"/>
  <c r="B16" i="2"/>
  <c r="D4" i="2"/>
  <c r="C8" i="10"/>
  <c r="C11" i="16" s="1"/>
  <c r="B108" i="8"/>
  <c r="F104" i="8"/>
  <c r="F102" i="8"/>
  <c r="F99" i="8"/>
  <c r="I97" i="8"/>
  <c r="I96" i="8"/>
  <c r="F95" i="8"/>
  <c r="F84" i="8"/>
  <c r="F81" i="8"/>
  <c r="I71" i="8"/>
  <c r="F66" i="8"/>
  <c r="F64" i="8"/>
  <c r="I62" i="8"/>
  <c r="I60" i="8"/>
  <c r="B55" i="8"/>
  <c r="B52" i="8"/>
  <c r="B50" i="8"/>
  <c r="B48" i="8"/>
  <c r="B46" i="8"/>
  <c r="B44" i="8"/>
  <c r="J41" i="8"/>
  <c r="C38" i="8"/>
  <c r="F35" i="8"/>
  <c r="C33" i="8"/>
  <c r="F26" i="8"/>
  <c r="C24" i="8"/>
  <c r="C21" i="8"/>
  <c r="C12" i="8"/>
  <c r="F7" i="8"/>
  <c r="C65" i="10"/>
  <c r="F62" i="10"/>
  <c r="F57" i="10"/>
  <c r="F55" i="10"/>
  <c r="E15" i="16" s="1"/>
  <c r="C54" i="10"/>
  <c r="E44" i="10"/>
  <c r="C43" i="10"/>
  <c r="E20" i="10"/>
  <c r="E11" i="10"/>
  <c r="E7" i="10"/>
  <c r="B35" i="11"/>
  <c r="C34" i="11"/>
  <c r="B23" i="11"/>
  <c r="B16" i="11"/>
  <c r="C9" i="11"/>
  <c r="B7" i="11"/>
  <c r="E60" i="12"/>
  <c r="C100" i="12"/>
  <c r="C94" i="12"/>
  <c r="G78" i="12"/>
  <c r="C39" i="12"/>
  <c r="C44" i="16" s="1"/>
  <c r="C35" i="12"/>
  <c r="C40" i="16" s="1"/>
  <c r="D31" i="12"/>
  <c r="D36" i="16" s="1"/>
  <c r="I26" i="12"/>
  <c r="H31" i="16" s="1"/>
  <c r="K21" i="12"/>
  <c r="K8" i="12"/>
  <c r="D21" i="4"/>
  <c r="C15" i="4"/>
  <c r="H9" i="4"/>
  <c r="B26" i="3"/>
  <c r="C66" i="16" s="1"/>
  <c r="B72" i="2"/>
  <c r="AA65" i="2"/>
  <c r="C60" i="2"/>
  <c r="B50" i="2"/>
  <c r="D41" i="2"/>
  <c r="C33" i="2"/>
  <c r="B25" i="2"/>
  <c r="B15" i="2"/>
  <c r="B4" i="2"/>
  <c r="C19" i="10"/>
  <c r="C11" i="10"/>
  <c r="D10" i="13"/>
  <c r="B7" i="2"/>
  <c r="B10" i="2"/>
  <c r="B14" i="2"/>
  <c r="B18" i="2"/>
  <c r="B22" i="2"/>
  <c r="B26" i="2"/>
  <c r="B28" i="2"/>
  <c r="B31" i="2"/>
  <c r="C35" i="2"/>
  <c r="B39" i="2"/>
  <c r="B41" i="2"/>
  <c r="B44" i="2"/>
  <c r="B47" i="2"/>
  <c r="B51" i="2"/>
  <c r="B55" i="2"/>
  <c r="C59" i="2"/>
  <c r="C61" i="2"/>
  <c r="C63" i="2"/>
  <c r="AA66" i="2"/>
  <c r="C68" i="2"/>
  <c r="B73" i="2"/>
  <c r="B24" i="3"/>
  <c r="C4" i="4"/>
  <c r="E7" i="4"/>
  <c r="G9" i="4"/>
  <c r="C11" i="4"/>
  <c r="D13" i="4"/>
  <c r="D15" i="4"/>
  <c r="D17" i="4"/>
  <c r="D19" i="4"/>
  <c r="C23" i="4"/>
  <c r="C4" i="12"/>
  <c r="G8" i="12"/>
  <c r="I10" i="12"/>
  <c r="D21" i="12"/>
  <c r="D29" i="16" s="1"/>
  <c r="M21" i="12"/>
  <c r="K23" i="12"/>
  <c r="G26" i="12"/>
  <c r="F31" i="16" s="1"/>
  <c r="K26" i="12"/>
  <c r="O26" i="12"/>
  <c r="L31" i="16" s="1"/>
  <c r="D30" i="12"/>
  <c r="D32" i="12"/>
  <c r="D37" i="16" s="1"/>
  <c r="D34" i="12"/>
  <c r="D39" i="16" s="1"/>
  <c r="D36" i="12"/>
  <c r="D41" i="16" s="1"/>
  <c r="D38" i="12"/>
  <c r="D43" i="16" s="1"/>
  <c r="C78" i="12"/>
  <c r="C88" i="12"/>
  <c r="C97" i="12"/>
  <c r="C101" i="12"/>
  <c r="G59" i="12"/>
  <c r="I60" i="12"/>
  <c r="G4" i="11"/>
  <c r="F8" i="11"/>
  <c r="C10" i="11"/>
  <c r="C14" i="11"/>
  <c r="C17" i="11"/>
  <c r="C21" i="11"/>
  <c r="B24" i="11"/>
  <c r="B31" i="11"/>
  <c r="G34" i="11"/>
  <c r="H35" i="11"/>
  <c r="H4" i="10"/>
  <c r="G7" i="10"/>
  <c r="H8" i="10"/>
  <c r="D10" i="10"/>
  <c r="D8" i="13"/>
  <c r="D7" i="2"/>
  <c r="B12" i="2"/>
  <c r="B17" i="2"/>
  <c r="B23" i="2"/>
  <c r="B27" i="2"/>
  <c r="B30" i="2"/>
  <c r="C36" i="2"/>
  <c r="B40" i="2"/>
  <c r="B43" i="2"/>
  <c r="B48" i="2"/>
  <c r="B53" i="2"/>
  <c r="B59" i="2"/>
  <c r="B62" i="2"/>
  <c r="C64" i="2"/>
  <c r="C66" i="2"/>
  <c r="B69" i="2"/>
  <c r="B75" i="2"/>
  <c r="B23" i="3"/>
  <c r="C64" i="16" s="1"/>
  <c r="L4" i="4"/>
  <c r="H7" i="4"/>
  <c r="D10" i="4"/>
  <c r="C14" i="4"/>
  <c r="D16" i="4"/>
  <c r="C19" i="4"/>
  <c r="C24" i="4"/>
  <c r="C7" i="12"/>
  <c r="G10" i="12"/>
  <c r="G21" i="12"/>
  <c r="G23" i="12"/>
  <c r="F29" i="16" s="1"/>
  <c r="G25" i="12"/>
  <c r="F30" i="16" s="1"/>
  <c r="L26" i="12"/>
  <c r="D27" i="12"/>
  <c r="D32" i="16" s="1"/>
  <c r="D34" i="16"/>
  <c r="C33" i="12"/>
  <c r="C38" i="16" s="1"/>
  <c r="D35" i="12"/>
  <c r="D40" i="16" s="1"/>
  <c r="C38" i="12"/>
  <c r="C43" i="16" s="1"/>
  <c r="D78" i="12"/>
  <c r="C90" i="12"/>
  <c r="C96" i="12"/>
  <c r="C102" i="12"/>
  <c r="F60" i="12"/>
  <c r="B4" i="11"/>
  <c r="G8" i="11"/>
  <c r="C12" i="11"/>
  <c r="C16" i="11"/>
  <c r="C22" i="11"/>
  <c r="B29" i="11"/>
  <c r="F34" i="11"/>
  <c r="B36" i="11"/>
  <c r="D7" i="10"/>
  <c r="G8" i="10"/>
  <c r="G10" i="10"/>
  <c r="D12" i="10"/>
  <c r="E14" i="10"/>
  <c r="E25" i="10"/>
  <c r="F43" i="10"/>
  <c r="C53" i="10"/>
  <c r="H53" i="10"/>
  <c r="F54" i="10"/>
  <c r="E14" i="16" s="1"/>
  <c r="F56" i="10"/>
  <c r="E16" i="16" s="1"/>
  <c r="F58" i="10"/>
  <c r="F61" i="10"/>
  <c r="E64" i="10"/>
  <c r="C4" i="8"/>
  <c r="I7" i="8"/>
  <c r="F9" i="8"/>
  <c r="F15" i="8"/>
  <c r="C18" i="8"/>
  <c r="C25" i="8"/>
  <c r="C28" i="8"/>
  <c r="C30" i="8"/>
  <c r="C32" i="8"/>
  <c r="C18" i="10"/>
  <c r="B8" i="2"/>
  <c r="B13" i="2"/>
  <c r="B19" i="2"/>
  <c r="B24" i="2"/>
  <c r="D27" i="2"/>
  <c r="C32" i="2"/>
  <c r="C37" i="2"/>
  <c r="D40" i="2"/>
  <c r="B45" i="2"/>
  <c r="B49" i="2"/>
  <c r="B54" i="2"/>
  <c r="B60" i="2"/>
  <c r="C62" i="2"/>
  <c r="B65" i="2"/>
  <c r="B67" i="2"/>
  <c r="C69" i="2"/>
  <c r="B76" i="2"/>
  <c r="B25" i="3"/>
  <c r="C65" i="16" s="1"/>
  <c r="C7" i="4"/>
  <c r="K7" i="4"/>
  <c r="C12" i="4"/>
  <c r="D14" i="4"/>
  <c r="C17" i="4"/>
  <c r="C21" i="4"/>
  <c r="C25" i="4"/>
  <c r="D7" i="12"/>
  <c r="K10" i="12"/>
  <c r="I21" i="12"/>
  <c r="I23" i="12"/>
  <c r="H26" i="12"/>
  <c r="G31" i="16" s="1"/>
  <c r="M26" i="12"/>
  <c r="J31" i="16" s="1"/>
  <c r="B107" i="8"/>
  <c r="B104" i="8"/>
  <c r="B102" i="8"/>
  <c r="B99" i="8"/>
  <c r="G97" i="8"/>
  <c r="G96" i="8"/>
  <c r="D95" i="8"/>
  <c r="B84" i="8"/>
  <c r="B81" i="8"/>
  <c r="J70" i="8"/>
  <c r="B66" i="8"/>
  <c r="B64" i="8"/>
  <c r="F60" i="8"/>
  <c r="B54" i="8"/>
  <c r="F51" i="8"/>
  <c r="I43" i="8"/>
  <c r="I41" i="8"/>
  <c r="C37" i="8"/>
  <c r="C35" i="8"/>
  <c r="C26" i="8"/>
  <c r="C23" i="8"/>
  <c r="C20" i="8"/>
  <c r="C17" i="8"/>
  <c r="C14" i="8"/>
  <c r="C9" i="8"/>
  <c r="C7" i="8"/>
  <c r="F64" i="10"/>
  <c r="F60" i="10"/>
  <c r="E57" i="10"/>
  <c r="E55" i="10"/>
  <c r="H15" i="16" s="1"/>
  <c r="F53" i="10"/>
  <c r="H43" i="10"/>
  <c r="G25" i="10"/>
  <c r="E13" i="10"/>
  <c r="D11" i="10"/>
  <c r="D9" i="10"/>
  <c r="C7" i="10"/>
  <c r="I34" i="11"/>
  <c r="B30" i="11"/>
  <c r="C20" i="11"/>
  <c r="C15" i="11"/>
  <c r="B9" i="11"/>
  <c r="E59" i="12"/>
  <c r="C99" i="12"/>
  <c r="C91" i="12"/>
  <c r="C77" i="12"/>
  <c r="D37" i="12"/>
  <c r="D42" i="16" s="1"/>
  <c r="C34" i="12"/>
  <c r="C39" i="16" s="1"/>
  <c r="C31" i="12"/>
  <c r="C36" i="16" s="1"/>
  <c r="P26" i="12"/>
  <c r="M31" i="16" s="1"/>
  <c r="I24" i="12"/>
  <c r="H29" i="16" s="1"/>
  <c r="C21" i="12"/>
  <c r="C29" i="16" s="1"/>
  <c r="P4" i="12"/>
  <c r="D18" i="4"/>
  <c r="C13" i="4"/>
  <c r="F7" i="4"/>
  <c r="Q4" i="3"/>
  <c r="B68" i="2"/>
  <c r="B64" i="2"/>
  <c r="B58" i="2"/>
  <c r="B46" i="2"/>
  <c r="D39" i="2"/>
  <c r="D29" i="2"/>
  <c r="B21" i="2"/>
  <c r="B11" i="2"/>
  <c r="C4" i="16"/>
  <c r="D35" i="16"/>
  <c r="C65" i="2"/>
  <c r="F32" i="16" l="1"/>
  <c r="I27" i="12"/>
  <c r="H32" i="16" s="1"/>
  <c r="C27" i="12"/>
  <c r="C32" i="16" s="1"/>
  <c r="F45" i="8"/>
  <c r="F48" i="8"/>
  <c r="F30" i="8"/>
  <c r="F14" i="8"/>
  <c r="F22" i="8"/>
  <c r="F21" i="8"/>
  <c r="F17" i="8"/>
  <c r="F44" i="8"/>
  <c r="F52" i="8"/>
  <c r="F29" i="8"/>
  <c r="F18" i="8"/>
  <c r="F28" i="8"/>
  <c r="F20" i="8"/>
  <c r="F47" i="8"/>
  <c r="F32" i="8"/>
  <c r="F49" i="8"/>
  <c r="F31" i="8"/>
  <c r="F13" i="8"/>
  <c r="H1" i="4"/>
  <c r="C1" i="11"/>
  <c r="K1" i="3"/>
  <c r="J1" i="12"/>
  <c r="C1" i="2"/>
  <c r="E1" i="10"/>
  <c r="B60" i="8"/>
  <c r="F41" i="8"/>
  <c r="C22" i="16"/>
  <c r="I70" i="8"/>
  <c r="C30" i="12"/>
  <c r="C35" i="16" s="1"/>
  <c r="C25" i="10"/>
  <c r="B45" i="8"/>
  <c r="M10" i="12"/>
  <c r="B49" i="8"/>
  <c r="G43" i="10"/>
  <c r="C98" i="12"/>
  <c r="F97" i="8"/>
  <c r="C21" i="16"/>
  <c r="D33" i="12"/>
  <c r="D38" i="16" s="1"/>
  <c r="C4" i="10"/>
  <c r="C22" i="8"/>
  <c r="F65" i="8"/>
  <c r="C41" i="12"/>
  <c r="C45" i="16" s="1"/>
  <c r="C29" i="8"/>
  <c r="C89" i="12"/>
  <c r="F36" i="8"/>
  <c r="B28" i="11"/>
  <c r="B62" i="8"/>
  <c r="B47" i="8"/>
  <c r="F103" i="8"/>
  <c r="C33" i="10"/>
  <c r="F25" i="8"/>
  <c r="E60" i="10"/>
  <c r="G1" i="8"/>
  <c r="E1" i="15"/>
  <c r="G1" i="16"/>
  <c r="C37" i="12"/>
  <c r="C42" i="16" s="1"/>
  <c r="E8" i="10"/>
  <c r="H11" i="16" s="1"/>
  <c r="M4" i="16"/>
</calcChain>
</file>

<file path=xl/sharedStrings.xml><?xml version="1.0" encoding="utf-8"?>
<sst xmlns="http://schemas.openxmlformats.org/spreadsheetml/2006/main" count="358" uniqueCount="226">
  <si>
    <t xml:space="preserve">            Wybór języka - Language</t>
  </si>
  <si>
    <t>PROSZĘ WYBRAĆ JĘZYK</t>
  </si>
  <si>
    <t>PLEASE CHOOSE LANGUAGE</t>
  </si>
  <si>
    <t>Polski</t>
  </si>
  <si>
    <t>English</t>
  </si>
  <si>
    <t>Górny slot (pierwsza dniówka)</t>
  </si>
  <si>
    <t>Druga dniówka (od 4. odsłony)</t>
  </si>
  <si>
    <t>Boksy w modułach tematycznych</t>
  </si>
  <si>
    <t>nd</t>
  </si>
  <si>
    <t>Tekstowe</t>
  </si>
  <si>
    <t>SG WP MONEY (DESKTOP/TABLET)</t>
  </si>
  <si>
    <t>SG WP MONEY (MOBILE)</t>
  </si>
  <si>
    <r>
      <t>Double Billboard lub Wideboard</t>
    </r>
    <r>
      <rPr>
        <vertAlign val="superscript"/>
        <sz val="8"/>
        <color indexed="8"/>
        <rFont val="Tahoma"/>
        <family val="2"/>
      </rPr>
      <t>1</t>
    </r>
  </si>
  <si>
    <t>Baner górny</t>
  </si>
  <si>
    <t>Triple Billboard</t>
  </si>
  <si>
    <t>Baner skalowany XL</t>
  </si>
  <si>
    <t xml:space="preserve">Screening / Gallery Board </t>
  </si>
  <si>
    <t>Baner górny XL</t>
  </si>
  <si>
    <t>Money Box</t>
  </si>
  <si>
    <t>Rectangle nr 1</t>
  </si>
  <si>
    <r>
      <t>Content Box</t>
    </r>
    <r>
      <rPr>
        <vertAlign val="superscript"/>
        <sz val="8"/>
        <color indexed="8"/>
        <rFont val="Tahoma"/>
        <family val="2"/>
      </rPr>
      <t>2</t>
    </r>
  </si>
  <si>
    <t>Baner skalowany</t>
  </si>
  <si>
    <t>STRONA GŁÓWNA SPORTOWEFAKTY (DESKTOP/TABLET)</t>
  </si>
  <si>
    <r>
      <t>STRONA GŁÓWNA SPORTOWEFAKTY (MOBILE)</t>
    </r>
    <r>
      <rPr>
        <b/>
        <vertAlign val="superscript"/>
        <sz val="8"/>
        <color indexed="9"/>
        <rFont val="Tahoma"/>
        <family val="2"/>
        <charset val="238"/>
      </rPr>
      <t>1</t>
    </r>
  </si>
  <si>
    <t>CZAS EMISJI</t>
  </si>
  <si>
    <t>CENA</t>
  </si>
  <si>
    <t>ROS SPORTOWEFAKTY (DESKTOP)</t>
  </si>
  <si>
    <r>
      <t>ROS SPORTOWEFAKTY (MOBILE)</t>
    </r>
    <r>
      <rPr>
        <b/>
        <vertAlign val="superscript"/>
        <sz val="8"/>
        <color indexed="9"/>
        <rFont val="Tahoma"/>
        <family val="2"/>
        <charset val="238"/>
      </rPr>
      <t>1</t>
    </r>
  </si>
  <si>
    <t>ROS DOBREPROGRAMY.PL (DESKTOP)</t>
  </si>
  <si>
    <t>ROS dobreprogramy.pl (MOBILE)</t>
  </si>
  <si>
    <t xml:space="preserve">Screening capp 1/uu + Wideoboard capp 2/uu </t>
  </si>
  <si>
    <t>Banner skalowany capp 1/uu</t>
  </si>
  <si>
    <t>Flat Fee / dzień</t>
  </si>
  <si>
    <t>Flat Fee / tydzień</t>
  </si>
  <si>
    <t>Doublebillborad / Wideborad capp 3/uu</t>
  </si>
  <si>
    <t>Banner górny capp 3/uu</t>
  </si>
  <si>
    <t>WP Facet, WP Teleshow, WP Film, WP Opinie, WP Turystyka, WP Gwiazdy, WP Gry, WP Wiadomości, WP Kuchnia, WP Finanse, WP Dom, WP Moto, WP Kobieta, WP Tech, WP Książki, Wawalove</t>
  </si>
  <si>
    <t>WP Finanse, Money</t>
  </si>
  <si>
    <t>WP Wiadomości, WP Opinie</t>
  </si>
  <si>
    <t>WP Moto, Autokult</t>
  </si>
  <si>
    <t>Technologia</t>
  </si>
  <si>
    <t>WP Tech, dobreprogramy.pl, Komórkomania, Gadżetomania, Fotoblogia</t>
  </si>
  <si>
    <t>łączny cap3xuu / dzień</t>
  </si>
  <si>
    <t>WP Kobieta, Kafeteria</t>
  </si>
  <si>
    <t>abcZdrowie, Parenting</t>
  </si>
  <si>
    <t>WP Sportowefakty</t>
  </si>
  <si>
    <t xml:space="preserve">Plotka </t>
  </si>
  <si>
    <t>WP Gwiazdy, Pudelek¹</t>
  </si>
  <si>
    <t>WP Turystyka, WP Pogoda</t>
  </si>
  <si>
    <t>MIEJSCE EMISJI</t>
  </si>
  <si>
    <t>FORMAT</t>
  </si>
  <si>
    <t>MODEL EMISJI</t>
  </si>
  <si>
    <t>CENA RATE CARD</t>
  </si>
  <si>
    <t>WP SG</t>
  </si>
  <si>
    <t>Paralaksa XL</t>
  </si>
  <si>
    <t>Serwisy Premium</t>
  </si>
  <si>
    <t>Panel Premium</t>
  </si>
  <si>
    <t>WP SportoweFakty</t>
  </si>
  <si>
    <t>Poczta WP / nad listingiem</t>
  </si>
  <si>
    <t>Banner</t>
  </si>
  <si>
    <t>Poczta o2 / nad listingiem</t>
  </si>
  <si>
    <t>REKLAMA ODSŁONOWA NA SERWISACH</t>
  </si>
  <si>
    <t>REKLAMA DATA POWER</t>
  </si>
  <si>
    <t xml:space="preserve">
</t>
  </si>
  <si>
    <t>MOBILE</t>
  </si>
  <si>
    <t>DESKTOP</t>
  </si>
  <si>
    <t>WP Autokult</t>
  </si>
  <si>
    <t>WP Gadżetomania</t>
  </si>
  <si>
    <t>WP Komórkomania</t>
  </si>
  <si>
    <t>WP Fotoblogia</t>
  </si>
  <si>
    <t>WP abcZdrowie</t>
  </si>
  <si>
    <t>WP Parenting</t>
  </si>
  <si>
    <t>WP Wiadomości</t>
  </si>
  <si>
    <t>WP Moto</t>
  </si>
  <si>
    <t>WP Finanse</t>
  </si>
  <si>
    <t>WP Film</t>
  </si>
  <si>
    <t>WP Turystyka</t>
  </si>
  <si>
    <t>WP Kobieta</t>
  </si>
  <si>
    <t>MSP Money</t>
  </si>
  <si>
    <t>Manager Money</t>
  </si>
  <si>
    <t>WP Dom</t>
  </si>
  <si>
    <t>WP Książki</t>
  </si>
  <si>
    <t>WP Kuchnia</t>
  </si>
  <si>
    <t>WP Facet</t>
  </si>
  <si>
    <t>Sport</t>
  </si>
  <si>
    <t>Business</t>
  </si>
  <si>
    <t>Celebrieties</t>
  </si>
  <si>
    <t>Life style</t>
  </si>
  <si>
    <t>Automotive, Technology, Games</t>
  </si>
  <si>
    <t>Shopping advice</t>
  </si>
  <si>
    <t>Travel</t>
  </si>
  <si>
    <t>Pudelek</t>
  </si>
  <si>
    <t xml:space="preserve">WP </t>
  </si>
  <si>
    <t xml:space="preserve">O2 </t>
  </si>
  <si>
    <t>-</t>
  </si>
  <si>
    <t>WP + O2 [CPM]</t>
  </si>
  <si>
    <t>WP lub O2 [CPM]</t>
  </si>
  <si>
    <t>WIDZIALNE ODSŁONY</t>
  </si>
  <si>
    <t>DNIÓWKA ODSŁONOWA</t>
  </si>
  <si>
    <t>Moduł "Wiadomości"</t>
  </si>
  <si>
    <t>Moduł "Sport"</t>
  </si>
  <si>
    <t>Moduł "Finanse"</t>
  </si>
  <si>
    <t>Moduł "Gwiazdy"</t>
  </si>
  <si>
    <t>Moduł "Moto"</t>
  </si>
  <si>
    <t>Moduł "Styl Życia"</t>
  </si>
  <si>
    <t>Moduł "Turystyka"</t>
  </si>
  <si>
    <t>Moduł "Zobacz więcej"</t>
  </si>
  <si>
    <t>Mouduły rotacyjnie</t>
  </si>
  <si>
    <t>COMMERCIAL BREAK³, WELCOME SCREEN³</t>
  </si>
  <si>
    <t>COMMERCIAL BREAK³</t>
  </si>
  <si>
    <t>EMISJA ODSŁONOWA</t>
  </si>
  <si>
    <t>PREMIUM HP</t>
  </si>
  <si>
    <t>WYBRANY SERWIS⁴</t>
  </si>
  <si>
    <t>+30% do ceny wybranej kategorii (+100% w przypadku serwisu Pudelek.pl)</t>
  </si>
  <si>
    <t>⁴ +100% do ceny wybranej kategorii w przyadku serwisu Pudelek.pl</t>
  </si>
  <si>
    <t>⁵ Screening na dobreprogramy.pl sprzedawany wyłącznie poza pakietem</t>
  </si>
  <si>
    <t>FLAT FEE</t>
  </si>
  <si>
    <t>Pudelek.pl</t>
  </si>
  <si>
    <t>WP Gwiazdy</t>
  </si>
  <si>
    <t>Pudelek.pl + WP Gwiazdy</t>
  </si>
  <si>
    <t>Mazowieckie</t>
  </si>
  <si>
    <t>Pomorskie, Wielkopolskie, Śląskie</t>
  </si>
  <si>
    <t>Dolnośląskie, Małopolskie</t>
  </si>
  <si>
    <t>Kujawsko-Pomorskie, Lubelskie, Podkarpackie, Zachodniopomorskie, Łódzkie</t>
  </si>
  <si>
    <t>Lubuskie, Opolskie, Podlaskie, Warmińsko-mazurskie, Świętokrzyskie</t>
  </si>
  <si>
    <t>rozliczenie CPM za rozpoczęte odtworzenia³</t>
  </si>
  <si>
    <t>rozliczenie za pełne odtworzenia³</t>
  </si>
  <si>
    <t>15"/30"</t>
  </si>
  <si>
    <t>15"</t>
  </si>
  <si>
    <t>30"</t>
  </si>
  <si>
    <t>WPM ZASIĘG</t>
  </si>
  <si>
    <t>+25%</t>
  </si>
  <si>
    <t>80 PLN</t>
  </si>
  <si>
    <t>PAKIET SPECJALNY</t>
  </si>
  <si>
    <t>KATEGORIE</t>
  </si>
  <si>
    <t>PRZYKŁADOWE PROFILE</t>
  </si>
  <si>
    <t>RECTANGLE,</t>
  </si>
  <si>
    <t>DOUBLE BILLBOARD,</t>
  </si>
  <si>
    <t>TRIPLE BILLBOARD,</t>
  </si>
  <si>
    <t>SCREENING 200³</t>
  </si>
  <si>
    <t>Instream Video Ad CPM, Instream Video SkipAd CPM</t>
  </si>
  <si>
    <t>MAILING</t>
  </si>
  <si>
    <t>FLOATING HALFPAGE</t>
  </si>
  <si>
    <t>MOBILE RECTANGLE</t>
  </si>
  <si>
    <t>HALFPAGE,</t>
  </si>
  <si>
    <t>WIDEBOARD</t>
  </si>
  <si>
    <t>MOBILE SCREENING³</t>
  </si>
  <si>
    <t>WIDEO</t>
  </si>
  <si>
    <t>MOBILE BANNER GÓRNY</t>
  </si>
  <si>
    <t>rozliczenie za widzialne odsłony wg standardu IAB¹</t>
  </si>
  <si>
    <t>rozliczenie CPM za rozpoczęte odtworzenia⁴</t>
  </si>
  <si>
    <t>Mailing HTML do 100 kB</t>
  </si>
  <si>
    <t>STAT. WEW.</t>
  </si>
  <si>
    <t>STAT. ZEW.</t>
  </si>
  <si>
    <t>30" i dłuższy⁴</t>
  </si>
  <si>
    <t>BIZNES</t>
  </si>
  <si>
    <t>Firma - Poszukujący pomysłu na biznes
Leasing
Podatki</t>
  </si>
  <si>
    <t>120 PLN</t>
  </si>
  <si>
    <t>180 PLN</t>
  </si>
  <si>
    <t>184 PLN</t>
  </si>
  <si>
    <t>200 PLN</t>
  </si>
  <si>
    <t>INFO I SPORT</t>
  </si>
  <si>
    <t>Siatkówka
Piłka nożna - liga hiszpańska
Piłka ręczna</t>
  </si>
  <si>
    <t>100 PLN</t>
  </si>
  <si>
    <t>150 PLN</t>
  </si>
  <si>
    <t>76 PLN</t>
  </si>
  <si>
    <t>84 PLN</t>
  </si>
  <si>
    <t>MOTORYZACJA</t>
  </si>
  <si>
    <t>Autosegment A
Design motoryzacyjny
Pojazdy zabytkowe</t>
  </si>
  <si>
    <t>52 PLN</t>
  </si>
  <si>
    <t>145 PLN</t>
  </si>
  <si>
    <t>ROZRYWKA</t>
  </si>
  <si>
    <t>Film i kinoSeriale
Ekologia
Zainteresowani esportem</t>
  </si>
  <si>
    <t>88 PLN</t>
  </si>
  <si>
    <t>96 PLN</t>
  </si>
  <si>
    <t>STYL ŻYCIA</t>
  </si>
  <si>
    <t>Uroda - Zabiegi kosmetyczne (SPA)
Kulinaria - Kuchnia meksykańska
Turystyka - Wyjazdy rodzinne (morze)
Dom i wnętrze</t>
  </si>
  <si>
    <t>57 PLN</t>
  </si>
  <si>
    <t>TECHNOLOGIA</t>
  </si>
  <si>
    <t>Sprzęt AGD
Konsole i gry
Inteligentny dom</t>
  </si>
  <si>
    <t>ZDROWIE I PARENTING</t>
  </si>
  <si>
    <t>Rodzina - Pięlęgnacja niemowlaka
Zdrowie
Grypa i przeziębienie
Medycyna naturalna</t>
  </si>
  <si>
    <t>154 PLN</t>
  </si>
  <si>
    <t>170 PLN</t>
  </si>
  <si>
    <t>GEOTARGETOWANIE</t>
  </si>
  <si>
    <t>Województwa, miasta, konkretna lokalizacja</t>
  </si>
  <si>
    <t>+50%</t>
  </si>
  <si>
    <t>RAPORT AUDIENCE</t>
  </si>
  <si>
    <t>Podsumowanie kampanii zawierającej raport Audience Discovery czyli pełny profil użytkownika (wersja podstawowa i rozszerzona).
Segmenty tworzymy pod konkretnego klienta lub konkretną kampanię.</t>
  </si>
  <si>
    <t>PROFIL DEDYKOWANY</t>
  </si>
  <si>
    <t>Unikalne grupy tworzone na potrzeby klienta / kampanii.</t>
  </si>
  <si>
    <t>+30%</t>
  </si>
  <si>
    <t>+10%</t>
  </si>
  <si>
    <t>+15%</t>
  </si>
  <si>
    <t>+100%</t>
  </si>
  <si>
    <t>+20%</t>
  </si>
  <si>
    <t>+1%</t>
  </si>
  <si>
    <t>+5%</t>
  </si>
  <si>
    <t>+40%</t>
  </si>
  <si>
    <t>+11.5%</t>
  </si>
  <si>
    <t>+15 PLN</t>
  </si>
  <si>
    <t xml:space="preserve">http://reklama.wp.pl/kat,1039751,dokumenty.html </t>
  </si>
  <si>
    <t>REKLAMA FLAT FEE</t>
  </si>
  <si>
    <t>Commercial Break 1/uu na godzinę</t>
  </si>
  <si>
    <t>Midbox FF</t>
  </si>
  <si>
    <t>Commercial Break</t>
  </si>
  <si>
    <t>WP SG, o2 SG</t>
  </si>
  <si>
    <t>ARTYKUŁ SPONSOROWANY</t>
  </si>
  <si>
    <t>ARTYKUŁ NATYWNY</t>
  </si>
  <si>
    <t>ARTYKUŁ SPONSOROWANY LOKALNY</t>
  </si>
  <si>
    <t>WIADOMOŚCI LOKALNE</t>
  </si>
  <si>
    <t>FLAT FEE / 1 tydzień</t>
  </si>
  <si>
    <t>LICZBA ARTYKUŁÓW</t>
  </si>
  <si>
    <t>PRÓG #2</t>
  </si>
  <si>
    <t>PRÓG #1</t>
  </si>
  <si>
    <t>ZASIĘG</t>
  </si>
  <si>
    <t>10 000 UU</t>
  </si>
  <si>
    <t>2 x 10 000 UU</t>
  </si>
  <si>
    <t>3 x 10 000 UU</t>
  </si>
  <si>
    <t>4 x 10 000 UU</t>
  </si>
  <si>
    <t>12 500 UU</t>
  </si>
  <si>
    <t>2 x 12 500 UU</t>
  </si>
  <si>
    <t>3 x 12 500 UU</t>
  </si>
  <si>
    <t>4 x 12 500 UU</t>
  </si>
  <si>
    <t>1 tydzień</t>
  </si>
  <si>
    <t>CENA NET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</si>
</sst>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0\ &quot;zł&quot;;[Red]\-#,##0\ &quot;zł&quot;"/>
    <numFmt numFmtId="44" formatCode="_-* #,##0.00\ &quot;zł&quot;_-;\-* #,##0.00\ &quot;zł&quot;_-;_-* &quot;-&quot;??\ &quot;zł&quot;_-;_-@_-"/>
    <numFmt numFmtId="43" formatCode="_-* #,##0.00\ _z_ł_-;\-* #,##0.00\ _z_ł_-;_-* &quot;-&quot;??\ _z_ł_-;_-@_-"/>
    <numFmt numFmtId="164" formatCode="#,##0.00\ &quot;zł&quot;"/>
    <numFmt numFmtId="165" formatCode="#,##0\ &quot;zł&quot;"/>
    <numFmt numFmtId="166" formatCode="#,##0.0\ &quot;zł&quot;"/>
    <numFmt numFmtId="167" formatCode="#,##0%"/>
    <numFmt numFmtId="168" formatCode="#,##0&quot; &quot;[$zł-415]"/>
    <numFmt numFmtId="169" formatCode="#,##0\ [$PLN]"/>
    <numFmt numFmtId="170" formatCode="#,##0\ [$PLN];[Red]\-#,##0\ [$PLN]"/>
    <numFmt numFmtId="171" formatCode="#,##0.00\ [$PLN]"/>
    <numFmt numFmtId="172" formatCode="#,##0\ [$PLN];\-#,##0\ [$PLN]"/>
  </numFmts>
  <fonts count="67">
    <font>
      <sz val="11"/>
      <color theme="1"/>
      <name val="Calibri"/>
      <family val="2"/>
      <charset val="238"/>
      <scheme val="minor"/>
    </font>
    <font>
      <b/>
      <sz val="10"/>
      <color indexed="8"/>
      <name val="Tahoma"/>
      <family val="2"/>
    </font>
    <font>
      <sz val="10"/>
      <color indexed="8"/>
      <name val="Tahoma"/>
      <family val="2"/>
    </font>
    <font>
      <sz val="10"/>
      <name val="Tahoma"/>
      <family val="2"/>
    </font>
    <font>
      <b/>
      <sz val="8"/>
      <color indexed="8"/>
      <name val="Tahoma"/>
      <family val="2"/>
    </font>
    <font>
      <b/>
      <sz val="10"/>
      <name val="Calibri"/>
      <family val="2"/>
    </font>
    <font>
      <sz val="10"/>
      <name val="Calibri"/>
      <family val="2"/>
    </font>
    <font>
      <sz val="10"/>
      <name val="Arial"/>
      <family val="2"/>
    </font>
    <font>
      <b/>
      <sz val="10"/>
      <name val="Arial"/>
      <family val="2"/>
    </font>
    <font>
      <sz val="11"/>
      <color indexed="8"/>
      <name val="Helvetica Neue"/>
    </font>
    <font>
      <sz val="10"/>
      <color indexed="8"/>
      <name val="Arial"/>
      <family val="2"/>
    </font>
    <font>
      <b/>
      <sz val="10"/>
      <color indexed="9"/>
      <name val="Tahoma"/>
      <family val="2"/>
    </font>
    <font>
      <sz val="11"/>
      <color indexed="8"/>
      <name val="Trebuchet MS"/>
      <family val="2"/>
    </font>
    <font>
      <sz val="12"/>
      <color indexed="8"/>
      <name val="Verdana"/>
      <family val="2"/>
    </font>
    <font>
      <sz val="12"/>
      <color indexed="8"/>
      <name val="Verdana"/>
      <family val="2"/>
    </font>
    <font>
      <sz val="12"/>
      <color indexed="8"/>
      <name val="Verdana"/>
      <family val="2"/>
      <charset val="238"/>
    </font>
    <font>
      <sz val="8"/>
      <color indexed="8"/>
      <name val="Tahoma"/>
      <family val="2"/>
    </font>
    <font>
      <sz val="8"/>
      <color indexed="8"/>
      <name val="Tahoma"/>
      <family val="2"/>
      <charset val="238"/>
    </font>
    <font>
      <b/>
      <vertAlign val="superscript"/>
      <sz val="8"/>
      <color indexed="9"/>
      <name val="Tahoma"/>
      <family val="2"/>
      <charset val="238"/>
    </font>
    <font>
      <sz val="8"/>
      <name val="Tahoma"/>
      <family val="2"/>
    </font>
    <font>
      <vertAlign val="superscript"/>
      <sz val="8"/>
      <color indexed="8"/>
      <name val="Tahoma"/>
      <family val="2"/>
    </font>
    <font>
      <b/>
      <sz val="8"/>
      <color indexed="9"/>
      <name val="Tahoma"/>
      <family val="2"/>
    </font>
    <font>
      <b/>
      <sz val="8"/>
      <name val="Tahoma"/>
      <family val="2"/>
    </font>
    <font>
      <sz val="8"/>
      <name val="Tahoma"/>
      <family val="2"/>
      <charset val="238"/>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scheme val="minor"/>
    </font>
    <font>
      <sz val="10"/>
      <color rgb="FF000000"/>
      <name val="Arial"/>
      <family val="2"/>
      <charset val="238"/>
    </font>
    <font>
      <b/>
      <sz val="11"/>
      <color theme="1"/>
      <name val="Calibri"/>
      <family val="2"/>
      <charset val="238"/>
      <scheme val="minor"/>
    </font>
    <font>
      <sz val="10"/>
      <color theme="1"/>
      <name val="Tahoma"/>
      <family val="2"/>
    </font>
    <font>
      <sz val="10"/>
      <color rgb="FF000000"/>
      <name val="Tahoma"/>
      <family val="2"/>
    </font>
    <font>
      <b/>
      <sz val="10"/>
      <color theme="0"/>
      <name val="Tahoma"/>
      <family val="2"/>
    </font>
    <font>
      <b/>
      <sz val="10"/>
      <color rgb="FFFFFFFF"/>
      <name val="Tahoma"/>
      <family val="2"/>
    </font>
    <font>
      <sz val="8"/>
      <color theme="1"/>
      <name val="Tahoma"/>
      <family val="2"/>
    </font>
    <font>
      <b/>
      <sz val="10"/>
      <color theme="1"/>
      <name val="Tahoma"/>
      <family val="2"/>
    </font>
    <font>
      <sz val="12"/>
      <color theme="1"/>
      <name val="Tahoma"/>
      <family val="2"/>
    </font>
    <font>
      <sz val="11"/>
      <color indexed="8"/>
      <name val="Calibri"/>
      <family val="2"/>
      <scheme val="minor"/>
    </font>
    <font>
      <sz val="10"/>
      <color rgb="FF1F497D"/>
      <name val="Tahoma"/>
      <family val="2"/>
    </font>
    <font>
      <b/>
      <sz val="10"/>
      <color theme="5"/>
      <name val="Tahoma"/>
      <family val="2"/>
    </font>
    <font>
      <sz val="10"/>
      <color theme="5"/>
      <name val="Tahoma"/>
      <family val="2"/>
    </font>
    <font>
      <sz val="10"/>
      <color theme="0"/>
      <name val="Tahoma"/>
      <family val="2"/>
    </font>
    <font>
      <sz val="10"/>
      <color theme="1"/>
      <name val="Tahoma"/>
      <family val="2"/>
      <charset val="238"/>
    </font>
    <font>
      <b/>
      <sz val="10"/>
      <color rgb="FF002060"/>
      <name val="Tahoma"/>
      <family val="2"/>
    </font>
    <font>
      <sz val="10"/>
      <color theme="0" tint="-0.14999847407452621"/>
      <name val="Tahoma"/>
      <family val="2"/>
    </font>
    <font>
      <b/>
      <sz val="8"/>
      <color theme="0"/>
      <name val="Tahoma"/>
      <family val="2"/>
    </font>
    <font>
      <b/>
      <sz val="10"/>
      <color theme="1"/>
      <name val="Tahoma"/>
      <family val="2"/>
      <charset val="238"/>
    </font>
    <font>
      <sz val="8"/>
      <color theme="1"/>
      <name val="Tahoma"/>
      <family val="2"/>
      <charset val="238"/>
    </font>
    <font>
      <b/>
      <sz val="8"/>
      <color rgb="FF002060"/>
      <name val="Tahoma"/>
      <family val="2"/>
    </font>
    <font>
      <sz val="8"/>
      <color rgb="FFC00000"/>
      <name val="Tahoma"/>
      <family val="2"/>
    </font>
    <font>
      <b/>
      <sz val="8"/>
      <color theme="1"/>
      <name val="Tahoma"/>
      <family val="2"/>
    </font>
    <font>
      <sz val="8"/>
      <color rgb="FF000000"/>
      <name val="Tahoma"/>
      <family val="2"/>
    </font>
    <font>
      <b/>
      <sz val="8"/>
      <color theme="0"/>
      <name val="Tahoma"/>
      <family val="2"/>
      <charset val="238"/>
    </font>
    <font>
      <sz val="8"/>
      <color theme="0"/>
      <name val="Tahoma"/>
      <family val="2"/>
    </font>
    <font>
      <b/>
      <sz val="8"/>
      <color theme="0" tint="-0.14999847407452621"/>
      <name val="Tahoma"/>
      <family val="2"/>
    </font>
    <font>
      <b/>
      <sz val="8"/>
      <color rgb="FFFF0000"/>
      <name val="Tahoma"/>
      <family val="2"/>
    </font>
    <font>
      <b/>
      <sz val="8"/>
      <color rgb="FFFFFFFF"/>
      <name val="Tahoma"/>
      <family val="2"/>
    </font>
    <font>
      <sz val="8"/>
      <color theme="1"/>
      <name val="Calibri"/>
      <family val="2"/>
      <charset val="238"/>
      <scheme val="minor"/>
    </font>
    <font>
      <b/>
      <sz val="8"/>
      <color theme="0" tint="-0.249977111117893"/>
      <name val="Tahoma"/>
      <family val="2"/>
    </font>
    <font>
      <b/>
      <sz val="8"/>
      <color rgb="FFFF0000"/>
      <name val="Tahoma"/>
      <family val="2"/>
      <charset val="238"/>
    </font>
    <font>
      <sz val="12"/>
      <color theme="1"/>
      <name val="Tahoma"/>
      <family val="2"/>
      <charset val="238"/>
    </font>
    <font>
      <i/>
      <sz val="8"/>
      <color theme="1"/>
      <name val="Tahoma"/>
      <family val="2"/>
      <charset val="238"/>
    </font>
    <font>
      <b/>
      <sz val="8"/>
      <color theme="0" tint="-0.34998626667073579"/>
      <name val="Tahoma"/>
      <family val="2"/>
      <charset val="238"/>
    </font>
    <font>
      <b/>
      <sz val="10"/>
      <color theme="0"/>
      <name val="Tahoma"/>
      <family val="2"/>
      <charset val="238"/>
    </font>
    <font>
      <b/>
      <sz val="8"/>
      <color theme="1"/>
      <name val="Tahoma"/>
      <family val="2"/>
      <charset val="238"/>
    </font>
    <font>
      <sz val="6"/>
      <color theme="1"/>
      <name val="Tahoma"/>
      <family val="2"/>
      <charset val="238"/>
    </font>
    <font>
      <b/>
      <sz val="8"/>
      <color theme="0" tint="-0.249977111117893"/>
      <name val="Tahoma"/>
      <family val="2"/>
      <charset val="238"/>
    </font>
  </fonts>
  <fills count="25">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1"/>
      </patternFill>
    </fill>
    <fill>
      <patternFill patternType="solid">
        <fgColor theme="0"/>
        <bgColor indexed="26"/>
      </patternFill>
    </fill>
    <fill>
      <patternFill patternType="solid">
        <fgColor theme="0"/>
        <bgColor indexed="44"/>
      </patternFill>
    </fill>
    <fill>
      <patternFill patternType="solid">
        <fgColor rgb="FFC00000"/>
        <bgColor indexed="64"/>
      </patternFill>
    </fill>
    <fill>
      <patternFill patternType="solid">
        <fgColor rgb="FFFFFFFF"/>
        <bgColor indexed="64"/>
      </patternFill>
    </fill>
    <fill>
      <patternFill patternType="solid">
        <fgColor theme="0"/>
        <bgColor indexed="27"/>
      </patternFill>
    </fill>
    <fill>
      <patternFill patternType="solid">
        <fgColor theme="0"/>
        <bgColor indexed="9"/>
      </patternFill>
    </fill>
    <fill>
      <patternFill patternType="solid">
        <fgColor theme="0" tint="-4.9989318521683403E-2"/>
        <bgColor indexed="64"/>
      </patternFill>
    </fill>
    <fill>
      <patternFill patternType="solid">
        <fgColor rgb="FF00A249"/>
        <bgColor indexed="64"/>
      </patternFill>
    </fill>
    <fill>
      <patternFill patternType="solid">
        <fgColor rgb="FFC00000"/>
        <bgColor theme="0"/>
      </patternFill>
    </fill>
    <fill>
      <patternFill patternType="solid">
        <fgColor theme="6" tint="0.79998168889431442"/>
        <bgColor indexed="64"/>
      </patternFill>
    </fill>
    <fill>
      <patternFill patternType="solid">
        <fgColor theme="1" tint="0.149998474074526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DC92CC"/>
        <bgColor indexed="64"/>
      </patternFill>
    </fill>
    <fill>
      <patternFill patternType="solid">
        <fgColor rgb="FF7030A0"/>
        <bgColor indexed="64"/>
      </patternFill>
    </fill>
    <fill>
      <patternFill patternType="solid">
        <fgColor theme="4" tint="0.79998168889431442"/>
        <bgColor indexed="64"/>
      </patternFill>
    </fill>
  </fills>
  <borders count="127">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rgb="FFC00000"/>
      </right>
      <top/>
      <bottom/>
      <diagonal/>
    </border>
    <border>
      <left/>
      <right/>
      <top/>
      <bottom style="thin">
        <color rgb="FFC00000"/>
      </bottom>
      <diagonal/>
    </border>
    <border>
      <left/>
      <right style="thin">
        <color theme="0" tint="-4.9989318521683403E-2"/>
      </right>
      <top/>
      <bottom/>
      <diagonal/>
    </border>
    <border>
      <left/>
      <right style="thin">
        <color theme="0" tint="-4.9989318521683403E-2"/>
      </right>
      <top style="thin">
        <color indexed="64"/>
      </top>
      <bottom/>
      <diagonal/>
    </border>
    <border>
      <left style="thin">
        <color indexed="64"/>
      </left>
      <right style="thin">
        <color indexed="64"/>
      </right>
      <top style="thin">
        <color rgb="FFC00000"/>
      </top>
      <bottom style="hair">
        <color indexed="64"/>
      </bottom>
      <diagonal/>
    </border>
    <border>
      <left style="thin">
        <color indexed="64"/>
      </left>
      <right/>
      <top style="thin">
        <color rgb="FFC00000"/>
      </top>
      <bottom style="hair">
        <color indexed="64"/>
      </bottom>
      <diagonal/>
    </border>
    <border>
      <left/>
      <right style="thin">
        <color indexed="64"/>
      </right>
      <top style="thin">
        <color rgb="FFC00000"/>
      </top>
      <bottom style="hair">
        <color indexed="64"/>
      </bottom>
      <diagonal/>
    </border>
    <border>
      <left/>
      <right/>
      <top style="thin">
        <color rgb="FFC00000"/>
      </top>
      <bottom/>
      <diagonal/>
    </border>
    <border>
      <left/>
      <right style="thin">
        <color rgb="FFC00000"/>
      </right>
      <top style="thin">
        <color rgb="FFC00000"/>
      </top>
      <bottom/>
      <diagonal/>
    </border>
    <border>
      <left style="thin">
        <color indexed="64"/>
      </left>
      <right style="thin">
        <color indexed="64"/>
      </right>
      <top style="thin">
        <color theme="3"/>
      </top>
      <bottom style="hair">
        <color indexed="64"/>
      </bottom>
      <diagonal/>
    </border>
    <border>
      <left/>
      <right/>
      <top style="thin">
        <color theme="0"/>
      </top>
      <bottom style="thin">
        <color theme="0"/>
      </bottom>
      <diagonal/>
    </border>
    <border>
      <left/>
      <right style="thin">
        <color rgb="FF00B050"/>
      </right>
      <top/>
      <bottom/>
      <diagonal/>
    </border>
    <border>
      <left style="thin">
        <color theme="1"/>
      </left>
      <right style="hair">
        <color indexed="64"/>
      </right>
      <top/>
      <bottom style="thin">
        <color indexed="64"/>
      </bottom>
      <diagonal/>
    </border>
    <border>
      <left/>
      <right style="thin">
        <color theme="1"/>
      </right>
      <top/>
      <bottom style="thin">
        <color indexed="64"/>
      </bottom>
      <diagonal/>
    </border>
    <border>
      <left/>
      <right/>
      <top style="thin">
        <color theme="4" tint="0.79998168889431442"/>
      </top>
      <bottom/>
      <diagonal/>
    </border>
    <border>
      <left/>
      <right style="thin">
        <color rgb="FFC00000"/>
      </right>
      <top/>
      <bottom style="thin">
        <color rgb="FFC00000"/>
      </bottom>
      <diagonal/>
    </border>
    <border>
      <left style="thin">
        <color rgb="FFC00000"/>
      </left>
      <right style="thin">
        <color rgb="FFC00000"/>
      </right>
      <top/>
      <bottom/>
      <diagonal/>
    </border>
    <border>
      <left/>
      <right style="thin">
        <color rgb="FFC00000"/>
      </right>
      <top/>
      <bottom style="thin">
        <color theme="0"/>
      </bottom>
      <diagonal/>
    </border>
    <border>
      <left style="thin">
        <color rgb="FFC00000"/>
      </left>
      <right style="thin">
        <color rgb="FFC00000"/>
      </right>
      <top/>
      <bottom style="thin">
        <color theme="0"/>
      </bottom>
      <diagonal/>
    </border>
    <border>
      <left style="thin">
        <color rgb="FFC00000"/>
      </left>
      <right/>
      <top/>
      <bottom style="thin">
        <color theme="0"/>
      </bottom>
      <diagonal/>
    </border>
    <border>
      <left/>
      <right/>
      <top style="thin">
        <color theme="0"/>
      </top>
      <bottom style="thin">
        <color rgb="FFC00000"/>
      </bottom>
      <diagonal/>
    </border>
    <border>
      <left/>
      <right/>
      <top/>
      <bottom style="thin">
        <color theme="0"/>
      </bottom>
      <diagonal/>
    </border>
    <border>
      <left style="thin">
        <color rgb="FFC00000"/>
      </left>
      <right/>
      <top style="thin">
        <color rgb="FFC00000"/>
      </top>
      <bottom style="thin">
        <color theme="0"/>
      </bottom>
      <diagonal/>
    </border>
    <border>
      <left/>
      <right style="thick">
        <color rgb="FFFF0000"/>
      </right>
      <top/>
      <bottom/>
      <diagonal/>
    </border>
    <border>
      <left/>
      <right/>
      <top/>
      <bottom style="thick">
        <color rgb="FFFF0000"/>
      </bottom>
      <diagonal/>
    </border>
    <border>
      <left/>
      <right style="thin">
        <color indexed="64"/>
      </right>
      <top/>
      <bottom style="thick">
        <color rgb="FFFF0000"/>
      </bottom>
      <diagonal/>
    </border>
    <border>
      <left/>
      <right/>
      <top style="thick">
        <color rgb="FFFF0000"/>
      </top>
      <bottom/>
      <diagonal/>
    </border>
    <border>
      <left/>
      <right style="thick">
        <color rgb="FFFF0000"/>
      </right>
      <top style="thick">
        <color rgb="FFFF0000"/>
      </top>
      <bottom/>
      <diagonal/>
    </border>
    <border>
      <left/>
      <right style="thin">
        <color theme="2"/>
      </right>
      <top/>
      <bottom/>
      <diagonal/>
    </border>
    <border>
      <left/>
      <right/>
      <top style="thin">
        <color theme="0"/>
      </top>
      <bottom style="thin">
        <color rgb="FFFF0000"/>
      </bottom>
      <diagonal/>
    </border>
    <border>
      <left/>
      <right style="thin">
        <color theme="0"/>
      </right>
      <top/>
      <bottom/>
      <diagonal/>
    </border>
    <border>
      <left style="thin">
        <color indexed="64"/>
      </left>
      <right style="hair">
        <color indexed="64"/>
      </right>
      <top/>
      <bottom style="thin">
        <color theme="1"/>
      </bottom>
      <diagonal/>
    </border>
    <border>
      <left style="thin">
        <color theme="1"/>
      </left>
      <right style="hair">
        <color indexed="64"/>
      </right>
      <top/>
      <bottom style="thin">
        <color theme="1"/>
      </bottom>
      <diagonal/>
    </border>
    <border>
      <left/>
      <right style="thin">
        <color theme="1"/>
      </right>
      <top/>
      <bottom style="thin">
        <color theme="1"/>
      </bottom>
      <diagonal/>
    </border>
    <border>
      <left style="thin">
        <color theme="1"/>
      </left>
      <right style="hair">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0"/>
      </top>
      <bottom style="thin">
        <color indexed="64"/>
      </bottom>
      <diagonal/>
    </border>
    <border>
      <left style="thin">
        <color indexed="64"/>
      </left>
      <right style="thin">
        <color indexed="64"/>
      </right>
      <top style="thin">
        <color theme="0"/>
      </top>
      <bottom style="thin">
        <color indexed="64"/>
      </bottom>
      <diagonal/>
    </border>
    <border>
      <left/>
      <right style="thin">
        <color theme="1" tint="0.14999847407452621"/>
      </right>
      <top style="thin">
        <color indexed="64"/>
      </top>
      <bottom style="thin">
        <color indexed="64"/>
      </bottom>
      <diagonal/>
    </border>
    <border>
      <left style="thin">
        <color indexed="64"/>
      </left>
      <right style="thin">
        <color indexed="64"/>
      </right>
      <top style="thin">
        <color theme="0"/>
      </top>
      <bottom/>
      <diagonal/>
    </border>
    <border>
      <left/>
      <right style="thin">
        <color indexed="64"/>
      </right>
      <top/>
      <bottom style="thin">
        <color theme="0"/>
      </bottom>
      <diagonal/>
    </border>
    <border>
      <left/>
      <right/>
      <top style="thin">
        <color rgb="FFC00000"/>
      </top>
      <bottom style="hair">
        <color indexed="64"/>
      </bottom>
      <diagonal/>
    </border>
    <border>
      <left style="thin">
        <color indexed="64"/>
      </left>
      <right/>
      <top style="thin">
        <color theme="7" tint="-0.249977111117893"/>
      </top>
      <bottom style="hair">
        <color indexed="64"/>
      </bottom>
      <diagonal/>
    </border>
    <border>
      <left/>
      <right/>
      <top style="thin">
        <color theme="7" tint="-0.249977111117893"/>
      </top>
      <bottom style="hair">
        <color indexed="64"/>
      </bottom>
      <diagonal/>
    </border>
    <border>
      <left/>
      <right style="thin">
        <color indexed="64"/>
      </right>
      <top style="thin">
        <color theme="7" tint="-0.249977111117893"/>
      </top>
      <bottom style="hair">
        <color indexed="64"/>
      </bottom>
      <diagonal/>
    </border>
    <border>
      <left/>
      <right style="thin">
        <color indexed="64"/>
      </right>
      <top style="thin">
        <color theme="0"/>
      </top>
      <bottom/>
      <diagonal/>
    </border>
    <border>
      <left/>
      <right style="thin">
        <color theme="5" tint="0.39997558519241921"/>
      </right>
      <top/>
      <bottom/>
      <diagonal/>
    </border>
    <border>
      <left/>
      <right style="thin">
        <color rgb="FF7030A0"/>
      </right>
      <top/>
      <bottom/>
      <diagonal/>
    </border>
    <border>
      <left/>
      <right style="thin">
        <color rgb="FF7030A0"/>
      </right>
      <top/>
      <bottom style="thin">
        <color theme="7" tint="-0.249977111117893"/>
      </bottom>
      <diagonal/>
    </border>
    <border>
      <left/>
      <right/>
      <top/>
      <bottom style="thin">
        <color theme="7" tint="-0.249977111117893"/>
      </bottom>
      <diagonal/>
    </border>
    <border>
      <left/>
      <right style="thin">
        <color indexed="64"/>
      </right>
      <top/>
      <bottom style="thin">
        <color theme="4" tint="0.79998168889431442"/>
      </bottom>
      <diagonal/>
    </border>
    <border>
      <left/>
      <right/>
      <top style="thin">
        <color rgb="FFC00000"/>
      </top>
      <bottom style="thin">
        <color rgb="FFC00000"/>
      </bottom>
      <diagonal/>
    </border>
    <border>
      <left/>
      <right/>
      <top style="thin">
        <color rgb="FFC00000"/>
      </top>
      <bottom style="thin">
        <color theme="0"/>
      </bottom>
      <diagonal/>
    </border>
    <border>
      <left/>
      <right style="thin">
        <color rgb="FFC00000"/>
      </right>
      <top style="thin">
        <color rgb="FFC00000"/>
      </top>
      <bottom style="thin">
        <color theme="0"/>
      </bottom>
      <diagonal/>
    </border>
    <border>
      <left style="thin">
        <color rgb="FFC00000"/>
      </left>
      <right/>
      <top/>
      <bottom/>
      <diagonal/>
    </border>
    <border>
      <left style="thin">
        <color rgb="FFC00000"/>
      </left>
      <right/>
      <top/>
      <bottom style="thin">
        <color rgb="FFC00000"/>
      </bottom>
      <diagonal/>
    </border>
    <border>
      <left style="thin">
        <color rgb="FFC00000"/>
      </left>
      <right/>
      <top style="thin">
        <color rgb="FFC00000"/>
      </top>
      <bottom/>
      <diagonal/>
    </border>
    <border>
      <left/>
      <right style="thin">
        <color theme="2"/>
      </right>
      <top style="thick">
        <color rgb="FFFF0000"/>
      </top>
      <bottom/>
      <diagonal/>
    </border>
    <border>
      <left/>
      <right style="thin">
        <color theme="2"/>
      </right>
      <top/>
      <bottom style="thin">
        <color theme="0"/>
      </bottom>
      <diagonal/>
    </border>
    <border>
      <left/>
      <right style="thick">
        <color rgb="FFFF0000"/>
      </right>
      <top/>
      <bottom style="thin">
        <color indexed="64"/>
      </bottom>
      <diagonal/>
    </border>
    <border>
      <left style="thin">
        <color theme="2"/>
      </left>
      <right/>
      <top/>
      <bottom/>
      <diagonal/>
    </border>
    <border>
      <left style="thin">
        <color theme="2"/>
      </left>
      <right/>
      <top style="thin">
        <color rgb="FFC00000"/>
      </top>
      <bottom/>
      <diagonal/>
    </border>
    <border>
      <left/>
      <right style="thin">
        <color theme="2"/>
      </right>
      <top style="thin">
        <color rgb="FFC00000"/>
      </top>
      <bottom/>
      <diagonal/>
    </border>
    <border>
      <left/>
      <right style="thick">
        <color rgb="FFFF0000"/>
      </right>
      <top/>
      <bottom style="thick">
        <color rgb="FFFF0000"/>
      </bottom>
      <diagonal/>
    </border>
    <border>
      <left/>
      <right/>
      <top style="thin">
        <color theme="0"/>
      </top>
      <bottom/>
      <diagonal/>
    </border>
    <border>
      <left style="thin">
        <color indexed="64"/>
      </left>
      <right/>
      <top/>
      <bottom style="thick">
        <color rgb="FFFF0000"/>
      </bottom>
      <diagonal/>
    </border>
    <border>
      <left/>
      <right style="hair">
        <color indexed="64"/>
      </right>
      <top/>
      <bottom style="thick">
        <color rgb="FFFF0000"/>
      </bottom>
      <diagonal/>
    </border>
    <border>
      <left/>
      <right/>
      <top style="thin">
        <color indexed="64"/>
      </top>
      <bottom style="thin">
        <color theme="0"/>
      </bottom>
      <diagonal/>
    </border>
    <border>
      <left style="thin">
        <color indexed="64"/>
      </left>
      <right style="thin">
        <color rgb="FFC00000"/>
      </right>
      <top/>
      <bottom/>
      <diagonal/>
    </border>
    <border>
      <left/>
      <right style="thin">
        <color rgb="FFC00000"/>
      </right>
      <top/>
      <bottom style="thin">
        <color indexed="64"/>
      </bottom>
      <diagonal/>
    </border>
    <border>
      <left/>
      <right style="thin">
        <color rgb="FFC00000"/>
      </right>
      <top style="thin">
        <color indexed="64"/>
      </top>
      <bottom style="thin">
        <color theme="0"/>
      </bottom>
      <diagonal/>
    </border>
    <border>
      <left/>
      <right style="thin">
        <color theme="1"/>
      </right>
      <top style="thin">
        <color indexed="64"/>
      </top>
      <bottom style="thin">
        <color indexed="64"/>
      </bottom>
      <diagonal/>
    </border>
    <border>
      <left style="thin">
        <color theme="0"/>
      </left>
      <right/>
      <top/>
      <bottom/>
      <diagonal/>
    </border>
    <border>
      <left/>
      <right style="thin">
        <color theme="0"/>
      </right>
      <top style="thin">
        <color rgb="FFC00000"/>
      </top>
      <bottom/>
      <diagonal/>
    </border>
    <border>
      <left style="thin">
        <color indexed="64"/>
      </left>
      <right/>
      <top style="thin">
        <color rgb="FFC00000"/>
      </top>
      <bottom style="thin">
        <color indexed="64"/>
      </bottom>
      <diagonal/>
    </border>
    <border>
      <left/>
      <right style="thin">
        <color indexed="64"/>
      </right>
      <top style="thin">
        <color rgb="FFC00000"/>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theme="0"/>
      </top>
      <bottom/>
      <diagonal/>
    </border>
    <border>
      <left/>
      <right style="thin">
        <color indexed="64"/>
      </right>
      <top/>
      <bottom style="thin">
        <color theme="2"/>
      </bottom>
      <diagonal/>
    </border>
    <border>
      <left style="thin">
        <color indexed="64"/>
      </left>
      <right/>
      <top style="thin">
        <color theme="0"/>
      </top>
      <bottom style="hair">
        <color indexed="64"/>
      </bottom>
      <diagonal/>
    </border>
    <border>
      <left/>
      <right/>
      <top style="thin">
        <color theme="0"/>
      </top>
      <bottom style="hair">
        <color indexed="64"/>
      </bottom>
      <diagonal/>
    </border>
    <border>
      <left/>
      <right style="thin">
        <color indexed="64"/>
      </right>
      <top style="thin">
        <color theme="0"/>
      </top>
      <bottom style="hair">
        <color indexed="64"/>
      </bottom>
      <diagonal/>
    </border>
  </borders>
  <cellStyleXfs count="39">
    <xf numFmtId="0" fontId="0" fillId="0" borderId="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4" fillId="0" borderId="0"/>
    <xf numFmtId="0" fontId="25" fillId="0" borderId="0"/>
    <xf numFmtId="0" fontId="24" fillId="0" borderId="0"/>
    <xf numFmtId="0" fontId="28" fillId="0" borderId="0"/>
    <xf numFmtId="0" fontId="25" fillId="0" borderId="0"/>
    <xf numFmtId="0" fontId="9" fillId="0" borderId="0">
      <alignment vertical="top"/>
    </xf>
    <xf numFmtId="0" fontId="28" fillId="0" borderId="0"/>
    <xf numFmtId="0" fontId="28" fillId="0" borderId="0"/>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4" fillId="0" borderId="0" applyNumberFormat="0" applyFill="0" applyBorder="0" applyProtection="0">
      <alignment vertical="top" wrapText="1"/>
    </xf>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5" fillId="0" borderId="0" applyNumberFormat="0" applyFill="0" applyBorder="0" applyProtection="0">
      <alignment vertical="top"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cellStyleXfs>
  <cellXfs count="1028">
    <xf numFmtId="0" fontId="0" fillId="0" borderId="0" xfId="0"/>
    <xf numFmtId="0" fontId="30" fillId="4" borderId="0" xfId="0" applyFont="1" applyFill="1" applyAlignment="1">
      <alignment horizontal="center" vertical="center"/>
    </xf>
    <xf numFmtId="0" fontId="30" fillId="4" borderId="0" xfId="0" applyFont="1" applyFill="1"/>
    <xf numFmtId="0" fontId="30" fillId="4" borderId="0" xfId="0" applyFont="1" applyFill="1" applyBorder="1"/>
    <xf numFmtId="0" fontId="30" fillId="4" borderId="0" xfId="0" applyFont="1" applyFill="1" applyAlignment="1">
      <alignment vertical="center"/>
    </xf>
    <xf numFmtId="6" fontId="30" fillId="4" borderId="0" xfId="0" applyNumberFormat="1" applyFont="1" applyFill="1" applyBorder="1" applyAlignment="1">
      <alignment horizontal="center" vertical="center" wrapText="1"/>
    </xf>
    <xf numFmtId="0" fontId="31" fillId="4" borderId="0"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0" xfId="0" applyFont="1" applyFill="1" applyBorder="1" applyAlignment="1">
      <alignment vertical="top" wrapText="1"/>
    </xf>
    <xf numFmtId="0" fontId="30" fillId="4" borderId="0" xfId="0" applyFont="1" applyFill="1" applyBorder="1" applyAlignment="1"/>
    <xf numFmtId="0" fontId="33" fillId="4" borderId="0" xfId="0" applyFont="1" applyFill="1" applyBorder="1" applyAlignment="1">
      <alignment vertical="center"/>
    </xf>
    <xf numFmtId="0" fontId="33" fillId="4" borderId="0" xfId="0" applyFont="1" applyFill="1" applyBorder="1" applyAlignment="1">
      <alignment vertical="center" wrapText="1"/>
    </xf>
    <xf numFmtId="0" fontId="0" fillId="3" borderId="0" xfId="0" applyFill="1"/>
    <xf numFmtId="0" fontId="0" fillId="4" borderId="0" xfId="0" applyFill="1"/>
    <xf numFmtId="0" fontId="0" fillId="4" borderId="0" xfId="0" applyFill="1" applyAlignment="1">
      <alignment horizontal="left" vertical="top" wrapText="1"/>
    </xf>
    <xf numFmtId="0" fontId="30" fillId="4" borderId="0" xfId="0" applyFont="1" applyFill="1" applyAlignment="1">
      <alignment horizontal="left" wrapText="1"/>
    </xf>
    <xf numFmtId="0" fontId="0" fillId="4" borderId="0" xfId="0" applyFill="1" applyBorder="1"/>
    <xf numFmtId="0" fontId="35" fillId="4" borderId="0" xfId="0" applyFont="1" applyFill="1" applyBorder="1"/>
    <xf numFmtId="0" fontId="34" fillId="4" borderId="0" xfId="0" applyFont="1" applyFill="1" applyAlignment="1">
      <alignment vertical="center" wrapText="1"/>
    </xf>
    <xf numFmtId="6" fontId="3" fillId="4" borderId="0" xfId="0" applyNumberFormat="1" applyFont="1" applyFill="1" applyBorder="1" applyAlignment="1">
      <alignment horizontal="center" vertical="center" wrapText="1"/>
    </xf>
    <xf numFmtId="165" fontId="30" fillId="4" borderId="0" xfId="0" applyNumberFormat="1" applyFont="1" applyFill="1" applyBorder="1" applyAlignment="1">
      <alignment horizontal="center"/>
    </xf>
    <xf numFmtId="0" fontId="32" fillId="4" borderId="0" xfId="0" applyFont="1" applyFill="1" applyBorder="1" applyAlignment="1">
      <alignment horizontal="center" vertical="center" wrapText="1" readingOrder="1"/>
    </xf>
    <xf numFmtId="9" fontId="30" fillId="4" borderId="0" xfId="0" applyNumberFormat="1" applyFont="1" applyFill="1"/>
    <xf numFmtId="164" fontId="30" fillId="4" borderId="0" xfId="0" applyNumberFormat="1" applyFont="1" applyFill="1" applyBorder="1" applyAlignment="1">
      <alignment horizontal="center" vertical="center"/>
    </xf>
    <xf numFmtId="166" fontId="30" fillId="4" borderId="0" xfId="0" applyNumberFormat="1" applyFont="1" applyFill="1" applyBorder="1" applyAlignment="1">
      <alignment horizontal="center" vertical="center"/>
    </xf>
    <xf numFmtId="0" fontId="30" fillId="4" borderId="42" xfId="0" applyFont="1" applyFill="1" applyBorder="1"/>
    <xf numFmtId="0" fontId="10" fillId="4" borderId="0" xfId="0" applyFont="1" applyFill="1" applyBorder="1"/>
    <xf numFmtId="0" fontId="32" fillId="4" borderId="0" xfId="0" applyFont="1" applyFill="1" applyBorder="1" applyAlignment="1">
      <alignment horizontal="center" vertical="top" wrapText="1"/>
    </xf>
    <xf numFmtId="0" fontId="3" fillId="4" borderId="0" xfId="0" applyFont="1" applyFill="1"/>
    <xf numFmtId="0" fontId="31" fillId="4" borderId="0" xfId="0" applyFont="1" applyFill="1" applyBorder="1" applyAlignment="1">
      <alignment vertical="center" wrapText="1"/>
    </xf>
    <xf numFmtId="6" fontId="31" fillId="4" borderId="0" xfId="0" applyNumberFormat="1"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vertical="center"/>
    </xf>
    <xf numFmtId="0" fontId="30" fillId="4" borderId="0" xfId="0" applyFont="1" applyFill="1" applyBorder="1" applyAlignment="1">
      <alignment horizontal="left" wrapText="1"/>
    </xf>
    <xf numFmtId="0" fontId="30" fillId="4" borderId="0" xfId="0" applyFont="1" applyFill="1" applyBorder="1" applyAlignment="1">
      <alignment textRotation="90" wrapText="1"/>
    </xf>
    <xf numFmtId="0" fontId="30" fillId="5" borderId="2" xfId="0" applyFont="1" applyFill="1" applyBorder="1"/>
    <xf numFmtId="0" fontId="36" fillId="5" borderId="2" xfId="0" applyFont="1" applyFill="1" applyBorder="1"/>
    <xf numFmtId="0" fontId="35" fillId="5" borderId="2" xfId="0" applyFont="1" applyFill="1" applyBorder="1"/>
    <xf numFmtId="0" fontId="3" fillId="4" borderId="0" xfId="0" applyFont="1" applyFill="1" applyBorder="1" applyAlignment="1">
      <alignment vertical="center" wrapText="1"/>
    </xf>
    <xf numFmtId="0" fontId="30" fillId="4" borderId="0" xfId="0" applyFont="1" applyFill="1" applyBorder="1" applyAlignment="1">
      <alignment vertical="top" wrapText="1"/>
    </xf>
    <xf numFmtId="164" fontId="30" fillId="4" borderId="0" xfId="0" applyNumberFormat="1" applyFont="1" applyFill="1" applyBorder="1" applyAlignment="1">
      <alignment vertical="center"/>
    </xf>
    <xf numFmtId="165" fontId="37" fillId="6" borderId="3" xfId="0" applyNumberFormat="1" applyFont="1" applyFill="1" applyBorder="1" applyAlignment="1">
      <alignment horizontal="center" vertical="center"/>
    </xf>
    <xf numFmtId="0" fontId="32" fillId="7" borderId="0" xfId="0" applyNumberFormat="1" applyFont="1" applyFill="1" applyBorder="1" applyAlignment="1">
      <alignment horizontal="center" vertical="center" wrapText="1"/>
    </xf>
    <xf numFmtId="165" fontId="37" fillId="8" borderId="3" xfId="0" applyNumberFormat="1" applyFont="1" applyFill="1" applyBorder="1" applyAlignment="1">
      <alignment horizontal="center" vertical="center"/>
    </xf>
    <xf numFmtId="0" fontId="3" fillId="4" borderId="0" xfId="17" applyNumberFormat="1" applyFont="1" applyFill="1" applyBorder="1" applyAlignment="1">
      <alignment horizontal="left" vertical="center" wrapText="1"/>
    </xf>
    <xf numFmtId="0" fontId="2" fillId="2" borderId="0" xfId="17" applyNumberFormat="1" applyFont="1" applyFill="1" applyBorder="1" applyAlignment="1">
      <alignment horizontal="center" vertical="center" wrapText="1"/>
    </xf>
    <xf numFmtId="168" fontId="2" fillId="2" borderId="0" xfId="17" applyNumberFormat="1" applyFont="1" applyFill="1" applyBorder="1" applyAlignment="1">
      <alignment horizontal="center" vertical="center" wrapText="1"/>
    </xf>
    <xf numFmtId="0" fontId="30" fillId="4" borderId="0" xfId="0" applyFont="1" applyFill="1"/>
    <xf numFmtId="0" fontId="30" fillId="4" borderId="0" xfId="0" applyFont="1" applyFill="1"/>
    <xf numFmtId="0" fontId="30" fillId="4" borderId="0" xfId="0" applyFont="1" applyFill="1" applyBorder="1" applyAlignment="1">
      <alignment horizontal="center" vertical="center" wrapText="1"/>
    </xf>
    <xf numFmtId="0" fontId="30" fillId="4" borderId="0" xfId="0" applyFont="1" applyFill="1"/>
    <xf numFmtId="0" fontId="30" fillId="4" borderId="0" xfId="0" applyFont="1" applyFill="1"/>
    <xf numFmtId="0" fontId="30" fillId="4" borderId="0" xfId="0" applyFont="1" applyFill="1"/>
    <xf numFmtId="0" fontId="3" fillId="4" borderId="0" xfId="0" applyFont="1" applyFill="1" applyAlignment="1">
      <alignment vertical="center"/>
    </xf>
    <xf numFmtId="0" fontId="30" fillId="4" borderId="0" xfId="0" applyFont="1" applyFill="1"/>
    <xf numFmtId="0" fontId="32" fillId="4" borderId="0" xfId="0" applyFont="1" applyFill="1" applyBorder="1" applyAlignment="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49" fontId="30" fillId="4" borderId="0" xfId="0" applyNumberFormat="1" applyFont="1" applyFill="1"/>
    <xf numFmtId="0" fontId="30" fillId="4" borderId="0" xfId="0" applyFont="1" applyFill="1"/>
    <xf numFmtId="0" fontId="32" fillId="7" borderId="0" xfId="0" applyNumberFormat="1" applyFont="1" applyFill="1" applyBorder="1" applyAlignment="1">
      <alignment vertical="center" wrapText="1"/>
    </xf>
    <xf numFmtId="0" fontId="34" fillId="4" borderId="0" xfId="0" applyFont="1" applyFill="1" applyBorder="1" applyAlignment="1">
      <alignment vertical="top" wrapText="1"/>
    </xf>
    <xf numFmtId="0" fontId="3" fillId="4" borderId="0" xfId="17" applyNumberFormat="1" applyFont="1" applyFill="1" applyBorder="1" applyAlignment="1">
      <alignment horizontal="left" vertical="center" wrapText="1" indent="1"/>
    </xf>
    <xf numFmtId="3" fontId="2" fillId="4" borderId="0" xfId="17" applyNumberFormat="1" applyFont="1" applyFill="1" applyBorder="1" applyAlignment="1">
      <alignment horizontal="center" vertical="center" wrapText="1"/>
    </xf>
    <xf numFmtId="168" fontId="2" fillId="4" borderId="0" xfId="17" applyNumberFormat="1" applyFont="1" applyFill="1" applyBorder="1" applyAlignment="1">
      <alignment horizontal="center" vertical="center" wrapText="1"/>
    </xf>
    <xf numFmtId="0" fontId="35" fillId="4" borderId="0" xfId="0" applyFont="1" applyFill="1" applyBorder="1" applyAlignment="1">
      <alignment horizontal="left" vertical="center" indent="1"/>
    </xf>
    <xf numFmtId="0" fontId="30" fillId="4" borderId="0" xfId="0" applyFont="1" applyFill="1"/>
    <xf numFmtId="0" fontId="32" fillId="9" borderId="0" xfId="0" applyFont="1" applyFill="1" applyBorder="1" applyAlignment="1">
      <alignment vertical="center"/>
    </xf>
    <xf numFmtId="0" fontId="30" fillId="10" borderId="0" xfId="0" applyFont="1" applyFill="1" applyBorder="1" applyAlignment="1">
      <alignment horizontal="left" vertical="center" wrapText="1" indent="1"/>
    </xf>
    <xf numFmtId="0" fontId="3" fillId="4" borderId="0" xfId="0" applyFont="1" applyFill="1" applyBorder="1" applyAlignment="1">
      <alignment vertical="center"/>
    </xf>
    <xf numFmtId="0" fontId="3" fillId="4" borderId="0" xfId="0" applyFont="1" applyFill="1" applyBorder="1" applyAlignment="1">
      <alignment vertical="top" wrapText="1"/>
    </xf>
    <xf numFmtId="0" fontId="1" fillId="4" borderId="0" xfId="0" applyFont="1" applyFill="1" applyAlignment="1">
      <alignment vertical="center" wrapText="1"/>
    </xf>
    <xf numFmtId="0" fontId="32" fillId="11" borderId="0" xfId="0" applyNumberFormat="1" applyFont="1" applyFill="1" applyBorder="1" applyAlignment="1">
      <alignment horizontal="center" vertical="center"/>
    </xf>
    <xf numFmtId="167" fontId="2" fillId="4" borderId="0" xfId="0" applyNumberFormat="1" applyFont="1" applyFill="1" applyBorder="1" applyAlignment="1">
      <alignment horizontal="center" vertical="center"/>
    </xf>
    <xf numFmtId="0" fontId="2" fillId="4" borderId="0" xfId="0" applyNumberFormat="1" applyFont="1" applyFill="1" applyBorder="1" applyAlignment="1">
      <alignment horizontal="center" vertical="center" wrapText="1"/>
    </xf>
    <xf numFmtId="0" fontId="31" fillId="4" borderId="0" xfId="0" applyFont="1" applyFill="1" applyAlignment="1">
      <alignment horizontal="left" vertical="center" indent="2"/>
    </xf>
    <xf numFmtId="0" fontId="31" fillId="0" borderId="0" xfId="0" applyFont="1" applyBorder="1" applyAlignment="1">
      <alignment horizontal="left" vertical="center" indent="2"/>
    </xf>
    <xf numFmtId="0" fontId="1" fillId="4" borderId="0" xfId="0" applyFont="1" applyFill="1" applyAlignment="1">
      <alignment horizontal="right" vertical="center" wrapText="1"/>
    </xf>
    <xf numFmtId="0" fontId="30" fillId="5" borderId="2" xfId="0" applyFont="1" applyFill="1" applyBorder="1" applyAlignment="1"/>
    <xf numFmtId="0" fontId="38" fillId="4" borderId="0" xfId="0" applyFont="1" applyFill="1" applyBorder="1" applyAlignment="1">
      <alignment vertical="center"/>
    </xf>
    <xf numFmtId="0" fontId="30" fillId="4" borderId="0" xfId="0" applyFont="1" applyFill="1"/>
    <xf numFmtId="0" fontId="30" fillId="4" borderId="0" xfId="0" applyFont="1" applyFill="1" applyBorder="1" applyAlignment="1">
      <alignment vertical="center"/>
    </xf>
    <xf numFmtId="165" fontId="30" fillId="4" borderId="0" xfId="0" applyNumberFormat="1" applyFont="1" applyFill="1" applyBorder="1" applyAlignment="1">
      <alignment horizontal="center" vertical="center"/>
    </xf>
    <xf numFmtId="0" fontId="34" fillId="4" borderId="0" xfId="0" applyFont="1" applyFill="1" applyBorder="1" applyAlignment="1">
      <alignment vertical="center"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30" fillId="4" borderId="0" xfId="0" applyFont="1" applyFill="1"/>
    <xf numFmtId="0" fontId="30" fillId="4" borderId="0" xfId="0" applyFont="1" applyFill="1"/>
    <xf numFmtId="0" fontId="30" fillId="4" borderId="0" xfId="0" applyFont="1" applyFill="1"/>
    <xf numFmtId="0" fontId="34" fillId="3" borderId="0" xfId="0" applyFont="1" applyFill="1" applyAlignment="1">
      <alignment vertical="top" wrapText="1"/>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0" fillId="4" borderId="0" xfId="0" applyFill="1" applyBorder="1" applyAlignment="1">
      <alignment vertical="center"/>
    </xf>
    <xf numFmtId="6" fontId="30" fillId="4" borderId="0" xfId="0" applyNumberFormat="1" applyFont="1" applyFill="1" applyBorder="1" applyAlignment="1">
      <alignment vertical="center"/>
    </xf>
    <xf numFmtId="0" fontId="10" fillId="4" borderId="0" xfId="0" applyFont="1" applyFill="1" applyBorder="1" applyAlignment="1">
      <alignment vertical="center"/>
    </xf>
    <xf numFmtId="0" fontId="30" fillId="4" borderId="0" xfId="0" applyFont="1" applyFill="1"/>
    <xf numFmtId="0" fontId="30" fillId="4" borderId="0" xfId="0" applyFont="1" applyFill="1"/>
    <xf numFmtId="0" fontId="32" fillId="4" borderId="0" xfId="0" applyFont="1" applyFill="1" applyBorder="1" applyAlignment="1">
      <alignment horizontal="center" vertical="center"/>
    </xf>
    <xf numFmtId="0" fontId="30" fillId="4" borderId="0" xfId="0" applyFont="1" applyFill="1"/>
    <xf numFmtId="0" fontId="39" fillId="4" borderId="0" xfId="0" applyFont="1" applyFill="1"/>
    <xf numFmtId="0" fontId="40" fillId="4" borderId="0" xfId="0" applyFont="1" applyFill="1"/>
    <xf numFmtId="0" fontId="39" fillId="4" borderId="0" xfId="0" applyFont="1" applyFill="1" applyBorder="1"/>
    <xf numFmtId="0" fontId="40" fillId="4" borderId="0" xfId="0" applyFont="1" applyFill="1" applyBorder="1" applyAlignment="1">
      <alignment horizontal="left" vertical="center" indent="1"/>
    </xf>
    <xf numFmtId="0" fontId="0" fillId="4" borderId="43" xfId="0" applyFill="1" applyBorder="1"/>
    <xf numFmtId="0" fontId="36" fillId="5" borderId="2" xfId="0" applyFont="1" applyFill="1" applyBorder="1" applyAlignment="1"/>
    <xf numFmtId="0" fontId="4" fillId="4" borderId="0" xfId="0" applyFont="1" applyFill="1" applyAlignment="1">
      <alignment wrapText="1"/>
    </xf>
    <xf numFmtId="0" fontId="30" fillId="4" borderId="0" xfId="0" applyFont="1" applyFill="1"/>
    <xf numFmtId="0" fontId="30" fillId="4" borderId="0" xfId="0" applyFont="1" applyFill="1"/>
    <xf numFmtId="0" fontId="41" fillId="4" borderId="0" xfId="0" applyFont="1" applyFill="1" applyBorder="1"/>
    <xf numFmtId="0" fontId="41" fillId="4" borderId="0" xfId="0" applyFont="1" applyFill="1" applyBorder="1" applyAlignment="1">
      <alignment horizontal="left" vertical="center" wrapText="1" indent="1"/>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42" fillId="4" borderId="0" xfId="11" applyFont="1" applyFill="1" applyBorder="1" applyAlignment="1">
      <alignment horizontal="left" indent="1"/>
    </xf>
    <xf numFmtId="49" fontId="42" fillId="4" borderId="0" xfId="8" applyNumberFormat="1" applyFont="1" applyFill="1" applyBorder="1" applyAlignment="1">
      <alignment horizontal="center"/>
    </xf>
    <xf numFmtId="0" fontId="30" fillId="4" borderId="0" xfId="0" applyFont="1" applyFill="1" applyBorder="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1" fillId="4" borderId="0" xfId="0" applyFont="1" applyFill="1" applyBorder="1" applyAlignment="1">
      <alignment horizontal="left" vertical="center" indent="2"/>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2" fillId="9" borderId="42" xfId="0" applyFont="1" applyFill="1" applyBorder="1" applyAlignment="1">
      <alignment horizontal="center" vertical="center"/>
    </xf>
    <xf numFmtId="0" fontId="32" fillId="9" borderId="0" xfId="0" applyFont="1" applyFill="1" applyBorder="1" applyAlignment="1">
      <alignment horizontal="center" vertical="center" wrapText="1"/>
    </xf>
    <xf numFmtId="0" fontId="30" fillId="4" borderId="0" xfId="0" applyFont="1" applyFill="1" applyBorder="1" applyAlignment="1">
      <alignment horizontal="left" vertical="center" wrapText="1" indent="1"/>
    </xf>
    <xf numFmtId="0" fontId="30" fillId="4" borderId="0" xfId="0" applyFont="1" applyFill="1" applyBorder="1" applyAlignment="1">
      <alignment horizontal="left" vertical="center" indent="1"/>
    </xf>
    <xf numFmtId="0" fontId="32" fillId="4" borderId="0" xfId="0" applyFont="1" applyFill="1" applyBorder="1" applyAlignment="1">
      <alignment horizontal="center" vertical="center" wrapText="1"/>
    </xf>
    <xf numFmtId="0" fontId="30" fillId="4" borderId="0" xfId="0" applyFont="1" applyFill="1"/>
    <xf numFmtId="3" fontId="2" fillId="12" borderId="0" xfId="0" applyNumberFormat="1" applyFont="1" applyFill="1" applyBorder="1" applyAlignment="1">
      <alignment horizontal="center" vertical="center"/>
    </xf>
    <xf numFmtId="3" fontId="30" fillId="4" borderId="0" xfId="0" applyNumberFormat="1" applyFont="1" applyFill="1" applyBorder="1" applyAlignment="1">
      <alignment horizontal="center" vertical="center"/>
    </xf>
    <xf numFmtId="165" fontId="2" fillId="6" borderId="0" xfId="0" applyNumberFormat="1" applyFont="1" applyFill="1" applyBorder="1" applyAlignment="1">
      <alignment horizontal="center" vertical="center"/>
    </xf>
    <xf numFmtId="0" fontId="37" fillId="6" borderId="0" xfId="0" applyNumberFormat="1" applyFont="1" applyFill="1" applyBorder="1" applyAlignment="1">
      <alignment horizontal="center" vertical="center"/>
    </xf>
    <xf numFmtId="165" fontId="37" fillId="6" borderId="0" xfId="0" applyNumberFormat="1" applyFont="1" applyFill="1" applyBorder="1" applyAlignment="1">
      <alignment horizontal="center" vertical="center"/>
    </xf>
    <xf numFmtId="165" fontId="37" fillId="8" borderId="0" xfId="0" applyNumberFormat="1" applyFont="1" applyFill="1" applyBorder="1" applyAlignment="1">
      <alignment horizontal="center" vertical="center"/>
    </xf>
    <xf numFmtId="0" fontId="31" fillId="4" borderId="0" xfId="0" applyFont="1" applyFill="1" applyBorder="1" applyAlignment="1">
      <alignment horizontal="center" vertical="center" wrapText="1" readingOrder="1"/>
    </xf>
    <xf numFmtId="3" fontId="30" fillId="4" borderId="0" xfId="0" applyNumberFormat="1" applyFont="1" applyFill="1" applyBorder="1" applyAlignment="1">
      <alignment horizontal="center" vertical="center" readingOrder="1"/>
    </xf>
    <xf numFmtId="6" fontId="30" fillId="7" borderId="0" xfId="0" applyNumberFormat="1" applyFont="1" applyFill="1" applyBorder="1" applyAlignment="1">
      <alignment horizontal="center" vertical="center" readingOrder="1"/>
    </xf>
    <xf numFmtId="6" fontId="30" fillId="4" borderId="0" xfId="0" applyNumberFormat="1" applyFont="1" applyFill="1" applyBorder="1" applyAlignment="1">
      <alignment horizontal="center" vertical="center" readingOrder="1"/>
    </xf>
    <xf numFmtId="0" fontId="44" fillId="4" borderId="0" xfId="0" applyFont="1" applyFill="1"/>
    <xf numFmtId="0" fontId="30" fillId="4" borderId="0" xfId="0" applyFont="1" applyFill="1"/>
    <xf numFmtId="0" fontId="30" fillId="4" borderId="0" xfId="0" applyFont="1" applyFill="1"/>
    <xf numFmtId="0" fontId="32" fillId="11" borderId="0" xfId="0" applyNumberFormat="1" applyFont="1" applyFill="1" applyBorder="1" applyAlignment="1">
      <alignment vertical="center"/>
    </xf>
    <xf numFmtId="0" fontId="30" fillId="4" borderId="0" xfId="0" applyFont="1" applyFill="1"/>
    <xf numFmtId="0" fontId="34" fillId="0" borderId="0" xfId="0" applyFont="1" applyFill="1" applyBorder="1" applyAlignment="1">
      <alignment horizontal="center" vertical="center" textRotation="90"/>
    </xf>
    <xf numFmtId="0" fontId="30" fillId="4" borderId="0" xfId="0" applyFont="1" applyFill="1"/>
    <xf numFmtId="0" fontId="34" fillId="13" borderId="0" xfId="0" applyNumberFormat="1" applyFont="1" applyFill="1"/>
    <xf numFmtId="49" fontId="34" fillId="13" borderId="0" xfId="0" applyNumberFormat="1" applyFont="1" applyFill="1"/>
    <xf numFmtId="0" fontId="17" fillId="13" borderId="0" xfId="0" applyFont="1" applyFill="1"/>
    <xf numFmtId="0" fontId="34" fillId="13" borderId="0" xfId="0" applyFont="1" applyFill="1" applyBorder="1" applyAlignment="1">
      <alignment horizontal="left" vertical="center" wrapText="1" indent="1"/>
    </xf>
    <xf numFmtId="0" fontId="34" fillId="13" borderId="0" xfId="0" applyFont="1" applyFill="1" applyBorder="1" applyAlignment="1">
      <alignment horizontal="left" vertical="center" indent="1"/>
    </xf>
    <xf numFmtId="165" fontId="34" fillId="13" borderId="0" xfId="0" applyNumberFormat="1" applyFont="1" applyFill="1" applyBorder="1" applyAlignment="1">
      <alignment horizontal="center" vertical="center"/>
    </xf>
    <xf numFmtId="0" fontId="47" fillId="13" borderId="0" xfId="0" applyFont="1" applyFill="1"/>
    <xf numFmtId="0" fontId="30" fillId="4" borderId="0" xfId="0" applyFont="1" applyFill="1"/>
    <xf numFmtId="0" fontId="34" fillId="13" borderId="0" xfId="0" applyFont="1" applyFill="1"/>
    <xf numFmtId="0" fontId="16" fillId="13" borderId="0" xfId="0" applyFont="1" applyFill="1"/>
    <xf numFmtId="49" fontId="34" fillId="13" borderId="44" xfId="0" applyNumberFormat="1" applyFont="1" applyFill="1" applyBorder="1"/>
    <xf numFmtId="165" fontId="34" fillId="13" borderId="45" xfId="0" applyNumberFormat="1" applyFont="1" applyFill="1" applyBorder="1" applyAlignment="1">
      <alignment horizontal="center" vertical="center"/>
    </xf>
    <xf numFmtId="0" fontId="34" fillId="13" borderId="44" xfId="0" applyFont="1" applyFill="1" applyBorder="1"/>
    <xf numFmtId="0" fontId="30" fillId="13" borderId="0" xfId="0" applyFont="1" applyFill="1"/>
    <xf numFmtId="0" fontId="30" fillId="13" borderId="45" xfId="0" applyFont="1" applyFill="1" applyBorder="1"/>
    <xf numFmtId="0" fontId="34" fillId="13" borderId="45" xfId="0" applyFont="1" applyFill="1" applyBorder="1"/>
    <xf numFmtId="0" fontId="30" fillId="13" borderId="44" xfId="0" applyFont="1" applyFill="1" applyBorder="1"/>
    <xf numFmtId="0" fontId="34" fillId="9" borderId="0" xfId="0" applyFont="1" applyFill="1"/>
    <xf numFmtId="0" fontId="45" fillId="9" borderId="43" xfId="0" applyFont="1" applyFill="1" applyBorder="1" applyAlignment="1">
      <alignment vertical="center" wrapText="1" readingOrder="1"/>
    </xf>
    <xf numFmtId="0" fontId="30" fillId="4" borderId="0" xfId="0" applyFont="1" applyFill="1"/>
    <xf numFmtId="0" fontId="34" fillId="4" borderId="46"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4" fillId="4" borderId="5" xfId="0" applyFont="1" applyFill="1" applyBorder="1" applyAlignment="1">
      <alignment horizontal="center" vertical="center" wrapText="1"/>
    </xf>
    <xf numFmtId="169" fontId="34" fillId="4" borderId="47" xfId="0" applyNumberFormat="1" applyFont="1" applyFill="1" applyBorder="1" applyAlignment="1">
      <alignment horizontal="center" vertical="center"/>
    </xf>
    <xf numFmtId="169" fontId="34" fillId="13" borderId="48" xfId="0" applyNumberFormat="1" applyFont="1" applyFill="1" applyBorder="1" applyAlignment="1">
      <alignment horizontal="center" vertical="center"/>
    </xf>
    <xf numFmtId="169" fontId="34" fillId="13" borderId="7" xfId="0" applyNumberFormat="1" applyFont="1" applyFill="1" applyBorder="1" applyAlignment="1">
      <alignment horizontal="center" vertical="center"/>
    </xf>
    <xf numFmtId="170" fontId="19" fillId="4" borderId="8" xfId="1" applyNumberFormat="1" applyFont="1" applyFill="1" applyBorder="1" applyAlignment="1">
      <alignment horizontal="center" vertical="center"/>
    </xf>
    <xf numFmtId="170" fontId="19" fillId="4" borderId="9" xfId="1" applyNumberFormat="1" applyFont="1" applyFill="1" applyBorder="1" applyAlignment="1">
      <alignment horizontal="center" vertical="center"/>
    </xf>
    <xf numFmtId="170" fontId="19" fillId="4" borderId="4" xfId="1" applyNumberFormat="1" applyFont="1" applyFill="1" applyBorder="1" applyAlignment="1">
      <alignment horizontal="center" vertical="center"/>
    </xf>
    <xf numFmtId="170" fontId="19" fillId="4" borderId="10" xfId="1" applyNumberFormat="1" applyFont="1" applyFill="1" applyBorder="1" applyAlignment="1">
      <alignment horizontal="center" vertical="center"/>
    </xf>
    <xf numFmtId="0" fontId="30" fillId="13" borderId="0" xfId="0" applyFont="1" applyFill="1" applyBorder="1"/>
    <xf numFmtId="169" fontId="47" fillId="4" borderId="11" xfId="0" applyNumberFormat="1" applyFont="1" applyFill="1" applyBorder="1" applyAlignment="1">
      <alignment horizontal="center" vertical="center"/>
    </xf>
    <xf numFmtId="169" fontId="47" fillId="4" borderId="1" xfId="0" applyNumberFormat="1" applyFont="1" applyFill="1" applyBorder="1" applyAlignment="1">
      <alignment horizontal="center" vertical="center"/>
    </xf>
    <xf numFmtId="169" fontId="47" fillId="4" borderId="12" xfId="0" applyNumberFormat="1" applyFont="1" applyFill="1" applyBorder="1" applyAlignment="1">
      <alignment horizontal="center" vertical="center"/>
    </xf>
    <xf numFmtId="0" fontId="30" fillId="4" borderId="0" xfId="0" applyFont="1" applyFill="1"/>
    <xf numFmtId="169" fontId="34" fillId="4" borderId="8" xfId="0" applyNumberFormat="1" applyFont="1" applyFill="1" applyBorder="1" applyAlignment="1">
      <alignment horizontal="center" vertical="center"/>
    </xf>
    <xf numFmtId="169" fontId="34" fillId="4" borderId="9" xfId="0" applyNumberFormat="1" applyFont="1" applyFill="1" applyBorder="1" applyAlignment="1">
      <alignment horizontal="center" vertical="center"/>
    </xf>
    <xf numFmtId="169" fontId="34" fillId="4" borderId="14" xfId="0" applyNumberFormat="1" applyFont="1" applyFill="1" applyBorder="1" applyAlignment="1">
      <alignment horizontal="center" vertical="center"/>
    </xf>
    <xf numFmtId="0" fontId="30" fillId="4" borderId="0" xfId="0" applyFont="1" applyFill="1"/>
    <xf numFmtId="0" fontId="30" fillId="4" borderId="1" xfId="0" applyFont="1" applyFill="1" applyBorder="1"/>
    <xf numFmtId="0" fontId="34" fillId="4" borderId="0" xfId="0" applyFont="1" applyFill="1" applyAlignment="1">
      <alignment wrapText="1"/>
    </xf>
    <xf numFmtId="0" fontId="34" fillId="4" borderId="0" xfId="0" applyFont="1" applyFill="1" applyBorder="1" applyAlignment="1">
      <alignment horizontal="left" vertical="center" wrapText="1"/>
    </xf>
    <xf numFmtId="0" fontId="34" fillId="4" borderId="9" xfId="0" applyFont="1" applyFill="1" applyBorder="1" applyAlignment="1">
      <alignment horizontal="left" vertical="center" wrapText="1" indent="1"/>
    </xf>
    <xf numFmtId="0" fontId="34" fillId="4" borderId="8" xfId="0" applyFont="1" applyFill="1" applyBorder="1" applyAlignment="1">
      <alignment horizontal="left" vertical="center" wrapText="1" indent="1"/>
    </xf>
    <xf numFmtId="0" fontId="34" fillId="4" borderId="5" xfId="0" applyFont="1" applyFill="1" applyBorder="1" applyAlignment="1">
      <alignment horizontal="left" vertical="center" wrapText="1" indent="1"/>
    </xf>
    <xf numFmtId="0" fontId="16" fillId="4" borderId="0" xfId="0" applyFont="1" applyFill="1"/>
    <xf numFmtId="0" fontId="47" fillId="4" borderId="0" xfId="0" applyFont="1" applyFill="1"/>
    <xf numFmtId="0" fontId="48" fillId="7" borderId="15" xfId="0" applyNumberFormat="1" applyFont="1" applyFill="1" applyBorder="1" applyAlignment="1">
      <alignment horizontal="center" vertical="center" wrapText="1"/>
    </xf>
    <xf numFmtId="165" fontId="34" fillId="4" borderId="0" xfId="0" applyNumberFormat="1" applyFont="1" applyFill="1" applyBorder="1" applyAlignment="1">
      <alignment horizontal="center" vertical="center"/>
    </xf>
    <xf numFmtId="0" fontId="45" fillId="9" borderId="0" xfId="0" applyFont="1" applyFill="1" applyBorder="1" applyAlignment="1">
      <alignment horizontal="left" vertical="center" wrapText="1" indent="1" readingOrder="1"/>
    </xf>
    <xf numFmtId="0" fontId="34" fillId="4" borderId="15" xfId="0" applyFont="1" applyFill="1" applyBorder="1" applyAlignment="1">
      <alignment horizontal="left" vertical="center" wrapText="1" indent="1"/>
    </xf>
    <xf numFmtId="0" fontId="34" fillId="4" borderId="14" xfId="0" applyFont="1" applyFill="1" applyBorder="1" applyAlignment="1">
      <alignment horizontal="left" vertical="center" wrapText="1" indent="1"/>
    </xf>
    <xf numFmtId="0" fontId="47" fillId="4" borderId="17" xfId="11" applyFont="1" applyFill="1" applyBorder="1" applyAlignment="1">
      <alignment horizontal="left" indent="1"/>
    </xf>
    <xf numFmtId="0" fontId="47" fillId="4" borderId="12" xfId="11" applyFont="1" applyFill="1" applyBorder="1" applyAlignment="1">
      <alignment horizontal="left" indent="1"/>
    </xf>
    <xf numFmtId="0" fontId="47" fillId="4" borderId="6" xfId="11" applyFont="1" applyFill="1" applyBorder="1" applyAlignment="1">
      <alignment horizontal="left" indent="1"/>
    </xf>
    <xf numFmtId="0" fontId="47" fillId="4" borderId="7" xfId="11" applyFont="1" applyFill="1" applyBorder="1" applyAlignment="1">
      <alignment horizontal="left" indent="1"/>
    </xf>
    <xf numFmtId="0" fontId="47" fillId="4" borderId="21" xfId="11" applyFont="1" applyFill="1" applyBorder="1" applyAlignment="1">
      <alignment horizontal="left" indent="1"/>
    </xf>
    <xf numFmtId="0" fontId="47" fillId="4" borderId="2" xfId="11" applyFont="1" applyFill="1" applyBorder="1" applyAlignment="1">
      <alignment horizontal="left" indent="1"/>
    </xf>
    <xf numFmtId="0" fontId="47" fillId="4" borderId="11" xfId="11" applyFont="1" applyFill="1" applyBorder="1" applyAlignment="1">
      <alignment horizontal="left" indent="1"/>
    </xf>
    <xf numFmtId="0" fontId="34" fillId="4" borderId="14" xfId="0" applyFont="1" applyFill="1" applyBorder="1" applyAlignment="1">
      <alignment horizontal="center" vertical="center"/>
    </xf>
    <xf numFmtId="0" fontId="34" fillId="4" borderId="51" xfId="0" applyFont="1" applyFill="1" applyBorder="1" applyAlignment="1">
      <alignment horizontal="left" vertical="center" wrapText="1" indent="1"/>
    </xf>
    <xf numFmtId="3" fontId="34" fillId="4" borderId="14" xfId="0" applyNumberFormat="1" applyFont="1" applyFill="1" applyBorder="1" applyAlignment="1">
      <alignment horizontal="center" vertical="center"/>
    </xf>
    <xf numFmtId="0" fontId="45" fillId="9" borderId="42" xfId="0" applyFont="1" applyFill="1" applyBorder="1" applyAlignment="1">
      <alignment horizontal="center"/>
    </xf>
    <xf numFmtId="0" fontId="19" fillId="4" borderId="9" xfId="0" applyFont="1" applyFill="1" applyBorder="1" applyAlignment="1">
      <alignment horizontal="left" vertical="center" indent="1"/>
    </xf>
    <xf numFmtId="0" fontId="19" fillId="4" borderId="10" xfId="0" applyFont="1" applyFill="1" applyBorder="1" applyAlignment="1">
      <alignment horizontal="left" vertical="center" indent="1"/>
    </xf>
    <xf numFmtId="0" fontId="50" fillId="4" borderId="0" xfId="0" applyFont="1" applyFill="1"/>
    <xf numFmtId="0" fontId="34" fillId="4" borderId="0" xfId="0" applyFont="1" applyFill="1" applyAlignment="1">
      <alignment horizontal="left" indent="1"/>
    </xf>
    <xf numFmtId="0" fontId="34" fillId="4" borderId="0" xfId="0" applyFont="1" applyFill="1" applyAlignment="1">
      <alignment horizontal="left"/>
    </xf>
    <xf numFmtId="0" fontId="51" fillId="10" borderId="0" xfId="0" applyFont="1" applyFill="1" applyAlignment="1">
      <alignment vertical="center"/>
    </xf>
    <xf numFmtId="0" fontId="47" fillId="4" borderId="8" xfId="0" applyFont="1" applyFill="1" applyBorder="1" applyAlignment="1">
      <alignment horizontal="center" vertical="center"/>
    </xf>
    <xf numFmtId="0" fontId="52" fillId="14" borderId="53" xfId="0" applyFont="1" applyFill="1" applyBorder="1" applyAlignment="1">
      <alignment horizontal="center" vertical="center"/>
    </xf>
    <xf numFmtId="0" fontId="16" fillId="4" borderId="0" xfId="0" applyFont="1" applyFill="1" applyBorder="1" applyAlignment="1">
      <alignment horizontal="left" vertical="center"/>
    </xf>
    <xf numFmtId="0" fontId="52" fillId="9" borderId="0" xfId="8" applyNumberFormat="1" applyFont="1" applyFill="1" applyBorder="1" applyAlignment="1">
      <alignment horizontal="center" vertical="center"/>
    </xf>
    <xf numFmtId="0" fontId="52" fillId="9" borderId="42" xfId="8" applyNumberFormat="1" applyFont="1" applyFill="1" applyBorder="1" applyAlignment="1">
      <alignment horizontal="center" vertical="center"/>
    </xf>
    <xf numFmtId="6" fontId="34" fillId="4" borderId="0" xfId="0" applyNumberFormat="1" applyFont="1" applyFill="1" applyBorder="1" applyAlignment="1">
      <alignment horizontal="center" vertical="center"/>
    </xf>
    <xf numFmtId="0" fontId="16" fillId="4" borderId="0" xfId="0" applyFont="1" applyFill="1" applyBorder="1" applyAlignment="1">
      <alignment vertical="center"/>
    </xf>
    <xf numFmtId="6" fontId="53" fillId="4" borderId="0" xfId="0" applyNumberFormat="1" applyFont="1" applyFill="1" applyBorder="1" applyAlignment="1">
      <alignment horizontal="center" vertical="center"/>
    </xf>
    <xf numFmtId="6" fontId="19" fillId="4" borderId="0" xfId="0" applyNumberFormat="1" applyFont="1" applyFill="1" applyBorder="1" applyAlignment="1">
      <alignment horizontal="center" vertical="center"/>
    </xf>
    <xf numFmtId="0" fontId="19" fillId="4" borderId="0" xfId="0" applyFont="1" applyFill="1" applyBorder="1" applyAlignment="1">
      <alignment horizontal="left" vertical="center" indent="1"/>
    </xf>
    <xf numFmtId="0" fontId="19" fillId="4" borderId="8" xfId="0" applyFont="1" applyFill="1" applyBorder="1" applyAlignment="1">
      <alignment horizontal="left" vertical="center" indent="1"/>
    </xf>
    <xf numFmtId="169" fontId="19" fillId="4" borderId="17" xfId="0" applyNumberFormat="1" applyFont="1" applyFill="1" applyBorder="1" applyAlignment="1">
      <alignment horizontal="center" vertical="center"/>
    </xf>
    <xf numFmtId="169" fontId="19" fillId="4" borderId="12" xfId="0" applyNumberFormat="1" applyFont="1" applyFill="1" applyBorder="1" applyAlignment="1">
      <alignment horizontal="center" vertical="center"/>
    </xf>
    <xf numFmtId="169" fontId="19" fillId="4" borderId="6" xfId="0" applyNumberFormat="1" applyFont="1" applyFill="1" applyBorder="1" applyAlignment="1">
      <alignment horizontal="center" vertical="center"/>
    </xf>
    <xf numFmtId="169" fontId="19" fillId="4" borderId="7" xfId="0" applyNumberFormat="1" applyFont="1" applyFill="1" applyBorder="1" applyAlignment="1">
      <alignment horizontal="center" vertical="center"/>
    </xf>
    <xf numFmtId="169" fontId="19" fillId="4" borderId="22" xfId="0" applyNumberFormat="1" applyFont="1" applyFill="1" applyBorder="1" applyAlignment="1">
      <alignment horizontal="center" vertical="center"/>
    </xf>
    <xf numFmtId="169" fontId="19" fillId="4" borderId="13" xfId="0" applyNumberFormat="1" applyFont="1" applyFill="1" applyBorder="1" applyAlignment="1">
      <alignment horizontal="center" vertical="center"/>
    </xf>
    <xf numFmtId="0" fontId="30" fillId="4" borderId="0" xfId="0" applyFont="1" applyFill="1"/>
    <xf numFmtId="169" fontId="34" fillId="4" borderId="16" xfId="0" applyNumberFormat="1" applyFont="1" applyFill="1" applyBorder="1" applyAlignment="1">
      <alignment horizontal="center" vertical="center"/>
    </xf>
    <xf numFmtId="169" fontId="19" fillId="4" borderId="4" xfId="0" applyNumberFormat="1" applyFont="1" applyFill="1" applyBorder="1" applyAlignment="1">
      <alignment horizontal="center" vertical="center"/>
    </xf>
    <xf numFmtId="169" fontId="19" fillId="4" borderId="9" xfId="0" applyNumberFormat="1" applyFont="1" applyFill="1" applyBorder="1" applyAlignment="1">
      <alignment horizontal="center" vertical="center"/>
    </xf>
    <xf numFmtId="169" fontId="34" fillId="4" borderId="4" xfId="0" applyNumberFormat="1" applyFont="1" applyFill="1" applyBorder="1" applyAlignment="1">
      <alignment horizontal="center" vertical="center"/>
    </xf>
    <xf numFmtId="169" fontId="19" fillId="4" borderId="5" xfId="0" applyNumberFormat="1" applyFont="1" applyFill="1" applyBorder="1" applyAlignment="1">
      <alignment horizontal="center" vertical="center"/>
    </xf>
    <xf numFmtId="169" fontId="34" fillId="4" borderId="5" xfId="0" applyNumberFormat="1" applyFont="1" applyFill="1" applyBorder="1" applyAlignment="1">
      <alignment horizontal="center" vertical="center"/>
    </xf>
    <xf numFmtId="169" fontId="34" fillId="4" borderId="10" xfId="0" applyNumberFormat="1" applyFont="1" applyFill="1" applyBorder="1" applyAlignment="1">
      <alignment horizontal="center" vertical="center"/>
    </xf>
    <xf numFmtId="169" fontId="19" fillId="4" borderId="8" xfId="0" applyNumberFormat="1" applyFont="1" applyFill="1" applyBorder="1" applyAlignment="1">
      <alignment horizontal="center" vertical="center"/>
    </xf>
    <xf numFmtId="169" fontId="19" fillId="4" borderId="10" xfId="0" applyNumberFormat="1" applyFont="1" applyFill="1" applyBorder="1" applyAlignment="1">
      <alignment horizontal="center" vertical="center"/>
    </xf>
    <xf numFmtId="169" fontId="19" fillId="4" borderId="15" xfId="0" applyNumberFormat="1" applyFont="1" applyFill="1" applyBorder="1" applyAlignment="1">
      <alignment horizontal="center" vertical="center"/>
    </xf>
    <xf numFmtId="169" fontId="19" fillId="4" borderId="24" xfId="0" applyNumberFormat="1" applyFont="1" applyFill="1" applyBorder="1" applyAlignment="1">
      <alignment horizontal="center" vertical="center"/>
    </xf>
    <xf numFmtId="169" fontId="34" fillId="4" borderId="54" xfId="0" applyNumberFormat="1" applyFont="1" applyFill="1" applyBorder="1" applyAlignment="1">
      <alignment horizontal="center" vertical="center"/>
    </xf>
    <xf numFmtId="172" fontId="19" fillId="4" borderId="14" xfId="35" applyNumberFormat="1" applyFont="1" applyFill="1" applyBorder="1" applyAlignment="1">
      <alignment horizontal="center" vertical="center"/>
    </xf>
    <xf numFmtId="172" fontId="19" fillId="4" borderId="9" xfId="35" applyNumberFormat="1" applyFont="1" applyFill="1" applyBorder="1" applyAlignment="1">
      <alignment horizontal="center" vertical="center"/>
    </xf>
    <xf numFmtId="172" fontId="19" fillId="4" borderId="5" xfId="35" applyNumberFormat="1" applyFont="1" applyFill="1" applyBorder="1" applyAlignment="1">
      <alignment horizontal="center" vertical="center"/>
    </xf>
    <xf numFmtId="172" fontId="34" fillId="4" borderId="9" xfId="35" applyNumberFormat="1" applyFont="1" applyFill="1" applyBorder="1" applyAlignment="1">
      <alignment horizontal="center" vertical="center"/>
    </xf>
    <xf numFmtId="169" fontId="47" fillId="4" borderId="11" xfId="8" applyNumberFormat="1" applyFont="1" applyFill="1" applyBorder="1" applyAlignment="1">
      <alignment horizontal="center"/>
    </xf>
    <xf numFmtId="169" fontId="47" fillId="4" borderId="8" xfId="8" applyNumberFormat="1" applyFont="1" applyFill="1" applyBorder="1" applyAlignment="1">
      <alignment horizontal="center"/>
    </xf>
    <xf numFmtId="169" fontId="47" fillId="4" borderId="12" xfId="8" applyNumberFormat="1" applyFont="1" applyFill="1" applyBorder="1" applyAlignment="1">
      <alignment horizontal="center"/>
    </xf>
    <xf numFmtId="169" fontId="47" fillId="4" borderId="9" xfId="8" applyNumberFormat="1" applyFont="1" applyFill="1" applyBorder="1" applyAlignment="1">
      <alignment horizontal="center"/>
    </xf>
    <xf numFmtId="169" fontId="47" fillId="4" borderId="7" xfId="8" applyNumberFormat="1" applyFont="1" applyFill="1" applyBorder="1" applyAlignment="1">
      <alignment horizontal="center"/>
    </xf>
    <xf numFmtId="169" fontId="47" fillId="4" borderId="10" xfId="8" applyNumberFormat="1" applyFont="1" applyFill="1" applyBorder="1" applyAlignment="1">
      <alignment horizontal="center"/>
    </xf>
    <xf numFmtId="0" fontId="47" fillId="4" borderId="0" xfId="11" applyFont="1" applyFill="1" applyBorder="1" applyAlignment="1">
      <alignment horizontal="left" indent="1"/>
    </xf>
    <xf numFmtId="169" fontId="47" fillId="4" borderId="0" xfId="8" applyNumberFormat="1" applyFont="1" applyFill="1" applyBorder="1" applyAlignment="1">
      <alignment horizontal="center"/>
    </xf>
    <xf numFmtId="0" fontId="34" fillId="4" borderId="56" xfId="0" applyFont="1" applyFill="1" applyBorder="1" applyAlignment="1">
      <alignment horizontal="center" vertical="center" textRotation="90"/>
    </xf>
    <xf numFmtId="0" fontId="30" fillId="4" borderId="56" xfId="0" applyFont="1" applyFill="1" applyBorder="1"/>
    <xf numFmtId="0" fontId="17" fillId="6" borderId="14" xfId="0" applyNumberFormat="1" applyFont="1" applyFill="1" applyBorder="1" applyAlignment="1">
      <alignment horizontal="center" vertical="center"/>
    </xf>
    <xf numFmtId="169" fontId="17" fillId="6" borderId="14" xfId="0" applyNumberFormat="1" applyFont="1" applyFill="1" applyBorder="1" applyAlignment="1">
      <alignment horizontal="center" vertical="center"/>
    </xf>
    <xf numFmtId="169" fontId="34" fillId="4" borderId="0" xfId="8" applyNumberFormat="1" applyFont="1" applyFill="1" applyBorder="1" applyAlignment="1">
      <alignment horizontal="center"/>
    </xf>
    <xf numFmtId="0" fontId="34" fillId="4" borderId="0" xfId="11" applyFont="1" applyFill="1" applyBorder="1" applyAlignment="1">
      <alignment horizontal="left" indent="1"/>
    </xf>
    <xf numFmtId="0" fontId="30" fillId="4" borderId="0" xfId="0" applyFont="1" applyFill="1"/>
    <xf numFmtId="165" fontId="41" fillId="4" borderId="0" xfId="8" applyNumberFormat="1" applyFont="1" applyFill="1" applyBorder="1" applyAlignment="1"/>
    <xf numFmtId="169" fontId="34" fillId="4" borderId="12" xfId="0" applyNumberFormat="1" applyFont="1" applyFill="1" applyBorder="1" applyAlignment="1">
      <alignment vertical="center"/>
    </xf>
    <xf numFmtId="169" fontId="34" fillId="4" borderId="17" xfId="0" applyNumberFormat="1" applyFont="1" applyFill="1" applyBorder="1" applyAlignment="1">
      <alignment horizontal="right" vertical="center"/>
    </xf>
    <xf numFmtId="0" fontId="34" fillId="4" borderId="0" xfId="0" applyFont="1" applyFill="1" applyAlignment="1">
      <alignment vertical="center"/>
    </xf>
    <xf numFmtId="169" fontId="16" fillId="6" borderId="14" xfId="0" applyNumberFormat="1" applyFont="1" applyFill="1" applyBorder="1" applyAlignment="1">
      <alignment horizontal="center" vertical="center"/>
    </xf>
    <xf numFmtId="0" fontId="30" fillId="4" borderId="0" xfId="0" applyFont="1" applyFill="1"/>
    <xf numFmtId="0" fontId="34" fillId="4" borderId="0" xfId="0" applyFont="1" applyFill="1" applyBorder="1" applyAlignment="1">
      <alignment horizontal="left" vertical="center" indent="1"/>
    </xf>
    <xf numFmtId="0" fontId="54" fillId="9" borderId="57" xfId="0" applyFont="1" applyFill="1" applyBorder="1" applyAlignment="1">
      <alignment horizontal="center" vertical="center" wrapText="1" readingOrder="1"/>
    </xf>
    <xf numFmtId="0" fontId="21" fillId="15" borderId="58" xfId="0" applyFont="1" applyFill="1" applyBorder="1" applyAlignment="1">
      <alignment horizontal="center" vertical="center" wrapText="1"/>
    </xf>
    <xf numFmtId="0" fontId="45" fillId="15" borderId="0" xfId="8" applyFont="1" applyFill="1" applyBorder="1" applyAlignment="1">
      <alignment horizontal="center" vertical="center"/>
    </xf>
    <xf numFmtId="0" fontId="45" fillId="15" borderId="42" xfId="8" applyFont="1" applyFill="1" applyBorder="1" applyAlignment="1">
      <alignment horizontal="center" vertical="center"/>
    </xf>
    <xf numFmtId="171" fontId="55" fillId="4" borderId="10" xfId="8" applyNumberFormat="1" applyFont="1" applyFill="1" applyBorder="1" applyAlignment="1">
      <alignment horizontal="center" vertical="center"/>
    </xf>
    <xf numFmtId="0" fontId="34" fillId="4" borderId="0" xfId="0" applyFont="1" applyFill="1" applyBorder="1" applyAlignment="1">
      <alignment horizontal="center" vertical="center"/>
    </xf>
    <xf numFmtId="0" fontId="34" fillId="4" borderId="0" xfId="0" applyFont="1" applyFill="1" applyBorder="1" applyAlignment="1">
      <alignment horizontal="left" vertical="center"/>
    </xf>
    <xf numFmtId="0" fontId="16" fillId="4" borderId="0" xfId="0" applyFont="1" applyFill="1" applyAlignment="1">
      <alignment horizontal="left" vertical="center"/>
    </xf>
    <xf numFmtId="0" fontId="34" fillId="4" borderId="0" xfId="0" applyFont="1" applyFill="1" applyAlignment="1">
      <alignment horizontal="left" vertical="center"/>
    </xf>
    <xf numFmtId="0" fontId="19" fillId="4" borderId="9" xfId="0" applyNumberFormat="1" applyFont="1" applyFill="1" applyBorder="1" applyAlignment="1">
      <alignment horizontal="center" vertical="center"/>
    </xf>
    <xf numFmtId="0" fontId="19" fillId="4" borderId="5" xfId="0" applyNumberFormat="1" applyFont="1" applyFill="1" applyBorder="1" applyAlignment="1">
      <alignment horizontal="center" vertical="center"/>
    </xf>
    <xf numFmtId="49" fontId="19" fillId="4" borderId="16" xfId="0" applyNumberFormat="1" applyFont="1" applyFill="1" applyBorder="1" applyAlignment="1">
      <alignment horizontal="center" vertical="center"/>
    </xf>
    <xf numFmtId="0" fontId="34" fillId="4" borderId="3" xfId="0" applyFont="1" applyFill="1" applyBorder="1" applyAlignment="1">
      <alignment horizontal="left" vertical="center" indent="1"/>
    </xf>
    <xf numFmtId="0" fontId="34" fillId="4" borderId="1" xfId="0" applyFont="1" applyFill="1" applyBorder="1" applyAlignment="1">
      <alignment horizontal="right" vertical="center" indent="1"/>
    </xf>
    <xf numFmtId="49" fontId="19" fillId="4" borderId="10" xfId="0" applyNumberFormat="1" applyFont="1" applyFill="1" applyBorder="1" applyAlignment="1">
      <alignment horizontal="center" vertical="center"/>
    </xf>
    <xf numFmtId="49" fontId="34" fillId="4" borderId="16" xfId="0" applyNumberFormat="1" applyFont="1" applyFill="1" applyBorder="1" applyAlignment="1">
      <alignment horizontal="center" vertical="center"/>
    </xf>
    <xf numFmtId="49" fontId="34" fillId="4" borderId="8" xfId="0" applyNumberFormat="1" applyFont="1" applyFill="1" applyBorder="1" applyAlignment="1">
      <alignment horizontal="center" vertical="center"/>
    </xf>
    <xf numFmtId="49" fontId="34" fillId="4" borderId="9" xfId="0" applyNumberFormat="1" applyFont="1" applyFill="1" applyBorder="1" applyAlignment="1">
      <alignment horizontal="center" vertical="center"/>
    </xf>
    <xf numFmtId="49" fontId="34" fillId="4" borderId="4" xfId="0" applyNumberFormat="1" applyFont="1" applyFill="1" applyBorder="1" applyAlignment="1">
      <alignment horizontal="center" vertical="center"/>
    </xf>
    <xf numFmtId="10" fontId="19" fillId="4" borderId="9" xfId="0" applyNumberFormat="1" applyFont="1" applyFill="1" applyBorder="1" applyAlignment="1">
      <alignment horizontal="center" vertical="center"/>
    </xf>
    <xf numFmtId="49" fontId="34" fillId="4" borderId="5" xfId="0" applyNumberFormat="1" applyFont="1" applyFill="1" applyBorder="1" applyAlignment="1">
      <alignment horizontal="center" vertical="center"/>
    </xf>
    <xf numFmtId="49" fontId="34" fillId="4" borderId="0" xfId="0" applyNumberFormat="1" applyFont="1" applyFill="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5" xfId="0" applyFont="1" applyBorder="1" applyAlignment="1">
      <alignment horizontal="center" vertical="center" wrapText="1"/>
    </xf>
    <xf numFmtId="0" fontId="22" fillId="0" borderId="20" xfId="0" applyFont="1" applyBorder="1" applyAlignment="1">
      <alignment horizontal="center" vertical="center" wrapText="1"/>
    </xf>
    <xf numFmtId="170" fontId="19" fillId="4" borderId="10" xfId="0" applyNumberFormat="1" applyFont="1" applyFill="1" applyBorder="1" applyAlignment="1">
      <alignment horizontal="center" vertical="center"/>
    </xf>
    <xf numFmtId="0" fontId="45" fillId="15" borderId="59" xfId="0" applyFont="1" applyFill="1" applyBorder="1" applyAlignment="1">
      <alignment horizontal="center" vertical="center"/>
    </xf>
    <xf numFmtId="0" fontId="45" fillId="15" borderId="60" xfId="0" applyFont="1" applyFill="1" applyBorder="1" applyAlignment="1">
      <alignment horizontal="center" vertical="center" wrapText="1"/>
    </xf>
    <xf numFmtId="0" fontId="45" fillId="15" borderId="61" xfId="0" applyFont="1" applyFill="1" applyBorder="1" applyAlignment="1">
      <alignment horizontal="center" vertical="center"/>
    </xf>
    <xf numFmtId="0" fontId="52" fillId="9" borderId="52" xfId="0" applyFont="1" applyFill="1" applyBorder="1" applyAlignment="1">
      <alignment horizontal="left" vertical="center" indent="1"/>
    </xf>
    <xf numFmtId="0" fontId="52" fillId="9" borderId="62" xfId="0" applyFont="1" applyFill="1" applyBorder="1" applyAlignment="1">
      <alignment horizontal="left" vertical="center" wrapText="1" indent="1"/>
    </xf>
    <xf numFmtId="0" fontId="52" fillId="9" borderId="63" xfId="0" applyFont="1" applyFill="1" applyBorder="1" applyAlignment="1">
      <alignment horizontal="left" vertical="center" indent="1"/>
    </xf>
    <xf numFmtId="169" fontId="57" fillId="4" borderId="23" xfId="0" applyNumberFormat="1" applyFont="1" applyFill="1" applyBorder="1" applyAlignment="1">
      <alignment horizontal="center" vertical="center"/>
    </xf>
    <xf numFmtId="0" fontId="45" fillId="9" borderId="64" xfId="0" applyFont="1" applyFill="1" applyBorder="1" applyAlignment="1">
      <alignment horizontal="left" vertical="center" indent="1"/>
    </xf>
    <xf numFmtId="0" fontId="19" fillId="13" borderId="29" xfId="0" applyNumberFormat="1" applyFont="1" applyFill="1" applyBorder="1" applyAlignment="1" applyProtection="1">
      <alignment vertical="center" wrapText="1"/>
    </xf>
    <xf numFmtId="0" fontId="19" fillId="13" borderId="45" xfId="0" applyNumberFormat="1" applyFont="1" applyFill="1" applyBorder="1" applyAlignment="1" applyProtection="1">
      <alignment vertical="center" wrapText="1"/>
    </xf>
    <xf numFmtId="0" fontId="19" fillId="13" borderId="29" xfId="0" applyNumberFormat="1" applyFont="1" applyFill="1" applyBorder="1" applyAlignment="1" applyProtection="1">
      <alignment vertical="center"/>
    </xf>
    <xf numFmtId="0" fontId="34" fillId="4" borderId="27" xfId="0" applyFont="1" applyFill="1" applyBorder="1" applyAlignment="1">
      <alignment horizontal="center" vertical="center" wrapText="1"/>
    </xf>
    <xf numFmtId="169" fontId="16" fillId="4" borderId="17" xfId="0" applyNumberFormat="1" applyFont="1" applyFill="1" applyBorder="1" applyAlignment="1">
      <alignment horizontal="center" vertical="center" wrapText="1"/>
    </xf>
    <xf numFmtId="0" fontId="34" fillId="16" borderId="1" xfId="0" applyFont="1" applyFill="1" applyBorder="1" applyAlignment="1">
      <alignment vertical="center" textRotation="90"/>
    </xf>
    <xf numFmtId="169" fontId="34" fillId="4" borderId="30" xfId="0" applyNumberFormat="1" applyFont="1" applyFill="1" applyBorder="1" applyAlignment="1">
      <alignment horizontal="center" vertical="center"/>
    </xf>
    <xf numFmtId="0" fontId="30" fillId="4" borderId="65" xfId="0" applyFont="1" applyFill="1" applyBorder="1"/>
    <xf numFmtId="0" fontId="30" fillId="4" borderId="66" xfId="0" applyFont="1" applyFill="1" applyBorder="1"/>
    <xf numFmtId="169" fontId="23" fillId="4" borderId="24" xfId="0" applyNumberFormat="1" applyFont="1" applyFill="1" applyBorder="1" applyAlignment="1">
      <alignment horizontal="center" vertical="center"/>
    </xf>
    <xf numFmtId="3" fontId="34" fillId="4" borderId="1" xfId="0" applyNumberFormat="1" applyFont="1" applyFill="1" applyBorder="1" applyAlignment="1">
      <alignment horizontal="right" vertical="center" wrapText="1" indent="1"/>
    </xf>
    <xf numFmtId="3" fontId="34" fillId="4" borderId="67" xfId="0" applyNumberFormat="1" applyFont="1" applyFill="1" applyBorder="1" applyAlignment="1">
      <alignment horizontal="right" vertical="center" wrapText="1" indent="1"/>
    </xf>
    <xf numFmtId="0" fontId="45" fillId="9" borderId="68" xfId="0" applyFont="1" applyFill="1" applyBorder="1" applyAlignment="1">
      <alignment vertical="center" wrapText="1"/>
    </xf>
    <xf numFmtId="0" fontId="45" fillId="9" borderId="69" xfId="0" applyFont="1" applyFill="1" applyBorder="1" applyAlignment="1">
      <alignment vertical="center" wrapText="1"/>
    </xf>
    <xf numFmtId="3" fontId="34" fillId="4" borderId="11" xfId="0" applyNumberFormat="1" applyFont="1" applyFill="1" applyBorder="1" applyAlignment="1">
      <alignment horizontal="right" vertical="center" wrapText="1" indent="1"/>
    </xf>
    <xf numFmtId="49" fontId="19" fillId="4" borderId="15" xfId="0" applyNumberFormat="1" applyFont="1" applyFill="1" applyBorder="1" applyAlignment="1">
      <alignment horizontal="center" vertical="center"/>
    </xf>
    <xf numFmtId="169" fontId="16" fillId="4" borderId="12" xfId="0" applyNumberFormat="1" applyFont="1" applyFill="1" applyBorder="1" applyAlignment="1">
      <alignment horizontal="center" vertical="center" wrapText="1"/>
    </xf>
    <xf numFmtId="169" fontId="16" fillId="4" borderId="13" xfId="0" applyNumberFormat="1" applyFont="1" applyFill="1" applyBorder="1" applyAlignment="1">
      <alignment horizontal="center" vertical="center" wrapText="1"/>
    </xf>
    <xf numFmtId="9" fontId="47" fillId="4" borderId="0" xfId="0" applyNumberFormat="1" applyFont="1" applyFill="1" applyBorder="1" applyAlignment="1">
      <alignment horizontal="left" vertical="center"/>
    </xf>
    <xf numFmtId="169" fontId="34" fillId="4" borderId="15" xfId="0" applyNumberFormat="1" applyFont="1" applyFill="1" applyBorder="1" applyAlignment="1">
      <alignment horizontal="center" vertical="center"/>
    </xf>
    <xf numFmtId="0" fontId="46" fillId="5" borderId="2" xfId="0" applyFont="1" applyFill="1" applyBorder="1" applyAlignment="1">
      <alignment horizontal="right" vertical="center"/>
    </xf>
    <xf numFmtId="0" fontId="30" fillId="4" borderId="0" xfId="0" applyFont="1" applyFill="1" applyBorder="1"/>
    <xf numFmtId="0" fontId="45" fillId="9" borderId="52" xfId="0" applyFont="1" applyFill="1" applyBorder="1" applyAlignment="1">
      <alignment horizontal="left" vertical="center" indent="1"/>
    </xf>
    <xf numFmtId="169" fontId="34" fillId="4" borderId="23" xfId="0" applyNumberFormat="1" applyFont="1" applyFill="1" applyBorder="1" applyAlignment="1">
      <alignment horizontal="center" vertical="center"/>
    </xf>
    <xf numFmtId="169" fontId="34" fillId="4" borderId="24" xfId="0" applyNumberFormat="1" applyFont="1" applyFill="1" applyBorder="1" applyAlignment="1">
      <alignment horizontal="center" vertical="center"/>
    </xf>
    <xf numFmtId="169" fontId="47" fillId="4" borderId="24" xfId="0" applyNumberFormat="1" applyFont="1" applyFill="1" applyBorder="1" applyAlignment="1">
      <alignment horizontal="center" vertical="center"/>
    </xf>
    <xf numFmtId="169" fontId="47" fillId="4" borderId="23" xfId="0" applyNumberFormat="1" applyFont="1" applyFill="1" applyBorder="1" applyAlignment="1">
      <alignment horizontal="center" vertical="center"/>
    </xf>
    <xf numFmtId="169" fontId="34" fillId="4" borderId="24" xfId="0" applyNumberFormat="1" applyFont="1" applyFill="1" applyBorder="1" applyAlignment="1">
      <alignment horizontal="center" vertical="center" wrapText="1"/>
    </xf>
    <xf numFmtId="0" fontId="45" fillId="9" borderId="52" xfId="0" applyFont="1" applyFill="1" applyBorder="1" applyAlignment="1">
      <alignment horizontal="left" vertical="center" wrapText="1" indent="1"/>
    </xf>
    <xf numFmtId="0" fontId="58" fillId="9" borderId="70" xfId="0" applyFont="1" applyFill="1" applyBorder="1" applyAlignment="1">
      <alignment horizontal="center" vertical="center" wrapText="1"/>
    </xf>
    <xf numFmtId="0" fontId="45" fillId="9" borderId="71" xfId="0" applyFont="1" applyFill="1" applyBorder="1" applyAlignment="1">
      <alignment horizontal="left" vertical="center" wrapText="1" indent="1"/>
    </xf>
    <xf numFmtId="6" fontId="16" fillId="4" borderId="25" xfId="0" applyNumberFormat="1" applyFont="1" applyFill="1" applyBorder="1" applyAlignment="1">
      <alignment horizontal="left" vertical="center" wrapText="1" indent="1"/>
    </xf>
    <xf numFmtId="6" fontId="16" fillId="4" borderId="11" xfId="0" applyNumberFormat="1" applyFont="1" applyFill="1" applyBorder="1" applyAlignment="1">
      <alignment horizontal="left" vertical="center" wrapText="1" indent="1"/>
    </xf>
    <xf numFmtId="0" fontId="30" fillId="4" borderId="0" xfId="0" applyFont="1" applyFill="1"/>
    <xf numFmtId="0" fontId="0" fillId="4" borderId="0" xfId="0" applyFill="1"/>
    <xf numFmtId="0" fontId="4" fillId="4" borderId="0" xfId="0" applyFont="1" applyFill="1" applyAlignment="1">
      <alignment vertical="center" wrapText="1"/>
    </xf>
    <xf numFmtId="0" fontId="30" fillId="5" borderId="2" xfId="0" applyFont="1" applyFill="1" applyBorder="1"/>
    <xf numFmtId="0" fontId="49" fillId="4" borderId="0" xfId="0" applyFont="1" applyFill="1"/>
    <xf numFmtId="0" fontId="47" fillId="4" borderId="0" xfId="0" applyFont="1" applyFill="1" applyBorder="1" applyAlignment="1">
      <alignment horizontal="left" vertical="center"/>
    </xf>
    <xf numFmtId="0" fontId="45" fillId="15" borderId="0" xfId="0" applyFont="1" applyFill="1" applyBorder="1" applyAlignment="1">
      <alignment horizontal="center" vertical="center"/>
    </xf>
    <xf numFmtId="0" fontId="58" fillId="9" borderId="72" xfId="0" applyFont="1" applyFill="1" applyBorder="1" applyAlignment="1">
      <alignment horizontal="center" vertical="center" wrapText="1"/>
    </xf>
    <xf numFmtId="0" fontId="45" fillId="15" borderId="72" xfId="0" applyFont="1" applyFill="1" applyBorder="1" applyAlignment="1">
      <alignment horizontal="center" vertical="center"/>
    </xf>
    <xf numFmtId="0" fontId="34" fillId="4" borderId="73" xfId="0" applyFont="1" applyFill="1" applyBorder="1" applyAlignment="1">
      <alignment horizontal="center" vertical="center"/>
    </xf>
    <xf numFmtId="0" fontId="34" fillId="4" borderId="23" xfId="0" applyFont="1" applyFill="1" applyBorder="1" applyAlignment="1">
      <alignment horizontal="center" vertical="center"/>
    </xf>
    <xf numFmtId="0" fontId="34" fillId="4" borderId="24" xfId="0" applyFont="1" applyFill="1" applyBorder="1" applyAlignment="1">
      <alignment horizontal="center" vertical="center"/>
    </xf>
    <xf numFmtId="0" fontId="34" fillId="4" borderId="74" xfId="0" applyFont="1" applyFill="1" applyBorder="1" applyAlignment="1">
      <alignment horizontal="center" vertical="center"/>
    </xf>
    <xf numFmtId="0" fontId="34" fillId="4" borderId="76" xfId="0" applyFont="1" applyFill="1" applyBorder="1" applyAlignment="1">
      <alignment horizontal="center" vertical="center"/>
    </xf>
    <xf numFmtId="169" fontId="19" fillId="4" borderId="16" xfId="0" applyNumberFormat="1" applyFont="1" applyFill="1" applyBorder="1" applyAlignment="1">
      <alignment horizontal="center" vertical="center"/>
    </xf>
    <xf numFmtId="0" fontId="47" fillId="4" borderId="0" xfId="0" applyFont="1" applyFill="1" applyBorder="1" applyAlignment="1">
      <alignment horizontal="center" vertical="center"/>
    </xf>
    <xf numFmtId="0" fontId="34" fillId="4" borderId="78" xfId="0" applyFont="1" applyFill="1" applyBorder="1" applyAlignment="1">
      <alignment horizontal="left" vertical="center" wrapText="1" indent="1"/>
    </xf>
    <xf numFmtId="0" fontId="34" fillId="4" borderId="25" xfId="0" applyFont="1" applyFill="1" applyBorder="1" applyAlignment="1">
      <alignment vertical="center"/>
    </xf>
    <xf numFmtId="0" fontId="34" fillId="4" borderId="11" xfId="0" applyFont="1" applyFill="1" applyBorder="1" applyAlignment="1">
      <alignment vertical="center"/>
    </xf>
    <xf numFmtId="165" fontId="19" fillId="4" borderId="15" xfId="0" applyNumberFormat="1" applyFont="1" applyFill="1" applyBorder="1" applyAlignment="1">
      <alignment horizontal="center" vertical="center"/>
    </xf>
    <xf numFmtId="169" fontId="19" fillId="4" borderId="79" xfId="0" applyNumberFormat="1" applyFont="1" applyFill="1" applyBorder="1" applyAlignment="1">
      <alignment horizontal="center" vertical="center"/>
    </xf>
    <xf numFmtId="0" fontId="19" fillId="4" borderId="15" xfId="0" applyNumberFormat="1" applyFont="1" applyFill="1" applyBorder="1" applyAlignment="1">
      <alignment horizontal="center" vertical="center"/>
    </xf>
    <xf numFmtId="171" fontId="55" fillId="4" borderId="15" xfId="8" applyNumberFormat="1" applyFont="1" applyFill="1" applyBorder="1" applyAlignment="1">
      <alignment horizontal="center" vertical="center"/>
    </xf>
    <xf numFmtId="171" fontId="55" fillId="4" borderId="16" xfId="8" applyNumberFormat="1" applyFont="1" applyFill="1" applyBorder="1" applyAlignment="1">
      <alignment horizontal="center" vertical="center"/>
    </xf>
    <xf numFmtId="169" fontId="47" fillId="4" borderId="0" xfId="0" applyNumberFormat="1" applyFont="1" applyFill="1" applyBorder="1" applyAlignment="1">
      <alignment horizontal="center" vertical="center"/>
    </xf>
    <xf numFmtId="0" fontId="47" fillId="4" borderId="32" xfId="0" applyFont="1" applyFill="1" applyBorder="1" applyAlignment="1">
      <alignment horizontal="center" vertical="center"/>
    </xf>
    <xf numFmtId="169" fontId="47" fillId="4" borderId="32" xfId="0" applyNumberFormat="1" applyFont="1" applyFill="1" applyBorder="1" applyAlignment="1">
      <alignment horizontal="center" vertical="center"/>
    </xf>
    <xf numFmtId="169" fontId="52" fillId="17" borderId="80" xfId="0" applyNumberFormat="1" applyFont="1" applyFill="1" applyBorder="1" applyAlignment="1">
      <alignment horizontal="center" vertical="center"/>
    </xf>
    <xf numFmtId="0" fontId="47" fillId="4" borderId="9" xfId="0" applyFont="1" applyFill="1" applyBorder="1" applyAlignment="1">
      <alignment horizontal="center" vertical="center"/>
    </xf>
    <xf numFmtId="0" fontId="0" fillId="5" borderId="0" xfId="0" applyFill="1"/>
    <xf numFmtId="0" fontId="60" fillId="5" borderId="0" xfId="0" applyFont="1" applyFill="1"/>
    <xf numFmtId="0" fontId="0" fillId="4" borderId="1" xfId="0" applyFill="1" applyBorder="1"/>
    <xf numFmtId="0" fontId="52" fillId="9" borderId="62" xfId="0" applyFont="1" applyFill="1" applyBorder="1" applyAlignment="1">
      <alignment horizontal="left" vertical="center" indent="1"/>
    </xf>
    <xf numFmtId="0" fontId="59" fillId="4" borderId="93" xfId="0" applyFont="1" applyFill="1" applyBorder="1" applyAlignment="1">
      <alignment horizontal="left" vertical="center" indent="1"/>
    </xf>
    <xf numFmtId="0" fontId="45" fillId="9" borderId="62" xfId="0" applyFont="1" applyFill="1" applyBorder="1" applyAlignment="1">
      <alignment horizontal="left" vertical="center" indent="1"/>
    </xf>
    <xf numFmtId="0" fontId="55" fillId="4" borderId="93" xfId="0" applyFont="1" applyFill="1" applyBorder="1" applyAlignment="1">
      <alignment horizontal="left" vertical="center" wrapText="1" indent="1"/>
    </xf>
    <xf numFmtId="0" fontId="64" fillId="4" borderId="9" xfId="0" applyFont="1" applyFill="1" applyBorder="1" applyAlignment="1">
      <alignment horizontal="left" vertical="center" indent="1"/>
    </xf>
    <xf numFmtId="0" fontId="64" fillId="4" borderId="10" xfId="0" applyFont="1" applyFill="1" applyBorder="1" applyAlignment="1">
      <alignment horizontal="left" vertical="center" indent="1"/>
    </xf>
    <xf numFmtId="0" fontId="64" fillId="4" borderId="8" xfId="0" applyFont="1" applyFill="1" applyBorder="1" applyAlignment="1">
      <alignment horizontal="left" vertical="center" indent="1"/>
    </xf>
    <xf numFmtId="0" fontId="66" fillId="9" borderId="0" xfId="0" applyFont="1" applyFill="1" applyBorder="1" applyAlignment="1">
      <alignment horizontal="center" vertical="center"/>
    </xf>
    <xf numFmtId="0" fontId="46" fillId="5" borderId="0" xfId="0" applyFont="1" applyFill="1" applyBorder="1" applyAlignment="1">
      <alignment horizontal="right" vertical="center"/>
    </xf>
    <xf numFmtId="0" fontId="66" fillId="9" borderId="58" xfId="0" applyFont="1" applyFill="1" applyBorder="1" applyAlignment="1">
      <alignment horizontal="center" vertical="center"/>
    </xf>
    <xf numFmtId="169" fontId="34" fillId="13" borderId="28" xfId="0" applyNumberFormat="1" applyFont="1" applyFill="1" applyBorder="1" applyAlignment="1">
      <alignment horizontal="center" vertical="center"/>
    </xf>
    <xf numFmtId="169" fontId="34" fillId="13" borderId="55" xfId="0" applyNumberFormat="1" applyFont="1" applyFill="1" applyBorder="1" applyAlignment="1">
      <alignment horizontal="center" vertical="center"/>
    </xf>
    <xf numFmtId="169" fontId="34" fillId="13" borderId="31" xfId="0" applyNumberFormat="1" applyFont="1" applyFill="1" applyBorder="1" applyAlignment="1">
      <alignment horizontal="center" vertical="center"/>
    </xf>
    <xf numFmtId="169" fontId="34" fillId="13" borderId="11" xfId="0" applyNumberFormat="1" applyFont="1" applyFill="1" applyBorder="1" applyAlignment="1">
      <alignment horizontal="center" vertical="center" wrapText="1"/>
    </xf>
    <xf numFmtId="169" fontId="47" fillId="13" borderId="25" xfId="0" applyNumberFormat="1" applyFont="1" applyFill="1" applyBorder="1" applyAlignment="1">
      <alignment horizontal="center" vertical="center" wrapText="1"/>
    </xf>
    <xf numFmtId="169" fontId="34" fillId="13" borderId="25" xfId="0" applyNumberFormat="1" applyFont="1" applyFill="1" applyBorder="1" applyAlignment="1">
      <alignment horizontal="center" vertical="center" wrapText="1"/>
    </xf>
    <xf numFmtId="169" fontId="34" fillId="13" borderId="25" xfId="0" applyNumberFormat="1" applyFont="1" applyFill="1" applyBorder="1" applyAlignment="1">
      <alignment horizontal="center" vertical="center"/>
    </xf>
    <xf numFmtId="169" fontId="19" fillId="13" borderId="25" xfId="0" applyNumberFormat="1" applyFont="1" applyFill="1" applyBorder="1" applyAlignment="1">
      <alignment horizontal="center" vertical="center"/>
    </xf>
    <xf numFmtId="169" fontId="47" fillId="13" borderId="11" xfId="0" applyNumberFormat="1" applyFont="1" applyFill="1" applyBorder="1" applyAlignment="1">
      <alignment horizontal="center" vertical="center" wrapText="1"/>
    </xf>
    <xf numFmtId="169" fontId="47" fillId="13" borderId="25" xfId="0" applyNumberFormat="1" applyFont="1" applyFill="1" applyBorder="1" applyAlignment="1">
      <alignment horizontal="center" vertical="center"/>
    </xf>
    <xf numFmtId="0" fontId="34" fillId="13" borderId="2" xfId="0" applyFont="1" applyFill="1" applyBorder="1" applyAlignment="1">
      <alignment horizontal="center" vertical="center"/>
    </xf>
    <xf numFmtId="0" fontId="34" fillId="13" borderId="31" xfId="0" applyFont="1" applyFill="1" applyBorder="1" applyAlignment="1">
      <alignment horizontal="center" vertical="center"/>
    </xf>
    <xf numFmtId="0" fontId="34" fillId="13" borderId="75" xfId="0" applyFont="1" applyFill="1" applyBorder="1" applyAlignment="1">
      <alignment horizontal="center" vertical="center"/>
    </xf>
    <xf numFmtId="0" fontId="34" fillId="13" borderId="77" xfId="0" applyFont="1" applyFill="1" applyBorder="1" applyAlignment="1">
      <alignment horizontal="center" vertical="center"/>
    </xf>
    <xf numFmtId="0" fontId="34" fillId="13" borderId="8" xfId="0" applyFont="1" applyFill="1" applyBorder="1" applyAlignment="1">
      <alignment horizontal="left" vertical="center" wrapText="1" indent="1"/>
    </xf>
    <xf numFmtId="169" fontId="34" fillId="13" borderId="17" xfId="0" applyNumberFormat="1" applyFont="1" applyFill="1" applyBorder="1" applyAlignment="1">
      <alignment horizontal="right" vertical="center"/>
    </xf>
    <xf numFmtId="169" fontId="34" fillId="13" borderId="12" xfId="0" applyNumberFormat="1" applyFont="1" applyFill="1" applyBorder="1" applyAlignment="1">
      <alignment vertical="center"/>
    </xf>
    <xf numFmtId="0" fontId="19" fillId="13" borderId="8" xfId="0" applyFont="1" applyFill="1" applyBorder="1" applyAlignment="1">
      <alignment horizontal="center" vertical="center" wrapText="1" readingOrder="1"/>
    </xf>
    <xf numFmtId="172" fontId="19" fillId="13" borderId="8" xfId="35" applyNumberFormat="1" applyFont="1" applyFill="1" applyBorder="1" applyAlignment="1">
      <alignment horizontal="center" vertical="center"/>
    </xf>
    <xf numFmtId="0" fontId="19" fillId="13" borderId="4" xfId="0" applyFont="1" applyFill="1" applyBorder="1" applyAlignment="1">
      <alignment horizontal="center" vertical="center" wrapText="1" readingOrder="1"/>
    </xf>
    <xf numFmtId="169" fontId="47" fillId="13" borderId="7" xfId="0" applyNumberFormat="1" applyFont="1" applyFill="1" applyBorder="1" applyAlignment="1">
      <alignment horizontal="center" vertical="center"/>
    </xf>
    <xf numFmtId="169" fontId="47" fillId="13" borderId="12" xfId="0" applyNumberFormat="1" applyFont="1" applyFill="1" applyBorder="1" applyAlignment="1">
      <alignment horizontal="center" vertical="center"/>
    </xf>
    <xf numFmtId="169" fontId="47" fillId="13" borderId="13" xfId="0" applyNumberFormat="1" applyFont="1" applyFill="1" applyBorder="1" applyAlignment="1">
      <alignment horizontal="center" vertical="center"/>
    </xf>
    <xf numFmtId="169" fontId="47" fillId="13" borderId="1" xfId="0" applyNumberFormat="1" applyFont="1" applyFill="1" applyBorder="1" applyAlignment="1">
      <alignment horizontal="center" vertical="center"/>
    </xf>
    <xf numFmtId="0" fontId="34" fillId="4" borderId="0" xfId="0" applyFont="1" applyFill="1"/>
    <xf numFmtId="0" fontId="46" fillId="5" borderId="0" xfId="0" applyFont="1" applyFill="1" applyAlignment="1">
      <alignment horizontal="right" vertical="center"/>
    </xf>
    <xf numFmtId="0" fontId="64" fillId="4" borderId="0" xfId="0" applyFont="1" applyFill="1" applyBorder="1" applyAlignment="1">
      <alignment horizontal="left" vertical="center" indent="1"/>
    </xf>
    <xf numFmtId="0" fontId="47" fillId="4" borderId="0" xfId="0" applyFont="1" applyFill="1" applyBorder="1" applyAlignment="1">
      <alignment vertical="center"/>
    </xf>
    <xf numFmtId="0" fontId="64" fillId="4" borderId="0" xfId="0" applyFont="1" applyFill="1" applyBorder="1" applyAlignment="1">
      <alignment horizontal="left" vertical="center"/>
    </xf>
    <xf numFmtId="0" fontId="64" fillId="4" borderId="0" xfId="0" applyFont="1" applyFill="1"/>
    <xf numFmtId="49" fontId="30" fillId="4" borderId="0" xfId="0" applyNumberFormat="1" applyFont="1" applyFill="1" applyBorder="1" applyAlignment="1">
      <alignment horizontal="center" vertical="center"/>
    </xf>
    <xf numFmtId="0" fontId="43" fillId="7" borderId="0" xfId="0" applyNumberFormat="1" applyFont="1" applyFill="1" applyBorder="1" applyAlignment="1">
      <alignment horizontal="center" vertical="center" wrapText="1"/>
    </xf>
    <xf numFmtId="0" fontId="30" fillId="4" borderId="0" xfId="0" applyFont="1" applyFill="1" applyBorder="1" applyAlignment="1">
      <alignment horizontal="center" vertical="center"/>
    </xf>
    <xf numFmtId="0" fontId="33" fillId="4" borderId="0" xfId="0"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0" fontId="42"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 fillId="4" borderId="0" xfId="0" applyFont="1" applyFill="1" applyAlignment="1">
      <alignment horizontal="right" vertical="center" wrapText="1"/>
    </xf>
    <xf numFmtId="0" fontId="52" fillId="17" borderId="31" xfId="0" applyFont="1" applyFill="1" applyBorder="1" applyAlignment="1">
      <alignment horizontal="center" vertical="center"/>
    </xf>
    <xf numFmtId="0" fontId="47" fillId="4" borderId="0" xfId="0" applyFont="1" applyFill="1" applyBorder="1" applyAlignment="1">
      <alignment horizontal="left" vertical="center" indent="1"/>
    </xf>
    <xf numFmtId="0" fontId="52" fillId="14" borderId="0" xfId="0" applyFont="1" applyFill="1" applyAlignment="1">
      <alignment horizontal="center" vertical="center"/>
    </xf>
    <xf numFmtId="0" fontId="34" fillId="4" borderId="18" xfId="0" applyFont="1" applyFill="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11" xfId="0" applyFont="1" applyFill="1" applyBorder="1" applyAlignment="1">
      <alignment horizontal="left" vertical="center" wrapText="1" indent="1"/>
    </xf>
    <xf numFmtId="0" fontId="45" fillId="9" borderId="0" xfId="0" applyFont="1" applyFill="1" applyBorder="1" applyAlignment="1">
      <alignment horizontal="center" vertical="center" wrapText="1" readingOrder="1"/>
    </xf>
    <xf numFmtId="0" fontId="45" fillId="9" borderId="0" xfId="0" applyFont="1" applyFill="1" applyBorder="1" applyAlignment="1">
      <alignment horizontal="center" vertical="center"/>
    </xf>
    <xf numFmtId="0" fontId="45" fillId="9" borderId="43" xfId="0" applyFont="1" applyFill="1" applyBorder="1" applyAlignment="1">
      <alignment horizontal="center" vertical="center"/>
    </xf>
    <xf numFmtId="0" fontId="19" fillId="4" borderId="6" xfId="0" applyFont="1" applyFill="1" applyBorder="1" applyAlignment="1">
      <alignment horizontal="left" vertical="center" indent="1"/>
    </xf>
    <xf numFmtId="0" fontId="34" fillId="4" borderId="19" xfId="0" applyFont="1" applyFill="1" applyBorder="1" applyAlignment="1">
      <alignment horizontal="left" vertical="center" wrapText="1" indent="1"/>
    </xf>
    <xf numFmtId="0" fontId="19" fillId="4" borderId="17" xfId="0" applyFont="1" applyFill="1" applyBorder="1" applyAlignment="1">
      <alignment horizontal="left" vertical="center" indent="1"/>
    </xf>
    <xf numFmtId="0" fontId="45" fillId="9" borderId="42" xfId="0" applyFont="1" applyFill="1" applyBorder="1" applyAlignment="1">
      <alignment horizontal="center" vertical="center"/>
    </xf>
    <xf numFmtId="169" fontId="34" fillId="4" borderId="6" xfId="0" applyNumberFormat="1" applyFont="1" applyFill="1" applyBorder="1" applyAlignment="1">
      <alignment horizontal="center" vertical="center"/>
    </xf>
    <xf numFmtId="0" fontId="34" fillId="4" borderId="26" xfId="0" applyFont="1" applyFill="1" applyBorder="1" applyAlignment="1">
      <alignment horizontal="left" vertical="center" indent="1"/>
    </xf>
    <xf numFmtId="0" fontId="34" fillId="4" borderId="27" xfId="0" applyFont="1" applyFill="1" applyBorder="1" applyAlignment="1">
      <alignment horizontal="left" vertical="center" indent="1"/>
    </xf>
    <xf numFmtId="0" fontId="34" fillId="4" borderId="17" xfId="0" applyFont="1" applyFill="1" applyBorder="1" applyAlignment="1">
      <alignment horizontal="left" vertical="center" wrapText="1" indent="1"/>
    </xf>
    <xf numFmtId="0" fontId="45" fillId="9" borderId="42" xfId="0" applyFont="1" applyFill="1" applyBorder="1" applyAlignment="1">
      <alignment horizontal="center" vertical="center" wrapText="1" readingOrder="1"/>
    </xf>
    <xf numFmtId="0" fontId="52" fillId="9" borderId="42" xfId="0" applyFont="1" applyFill="1" applyBorder="1" applyAlignment="1">
      <alignment horizontal="center" vertical="center"/>
    </xf>
    <xf numFmtId="0" fontId="52" fillId="9" borderId="0" xfId="0" applyFont="1" applyFill="1" applyBorder="1" applyAlignment="1">
      <alignment horizontal="center" vertical="center"/>
    </xf>
    <xf numFmtId="0" fontId="64" fillId="4" borderId="7" xfId="0" applyFont="1" applyFill="1" applyBorder="1" applyAlignment="1">
      <alignment horizontal="left" vertical="center" indent="1"/>
    </xf>
    <xf numFmtId="0" fontId="47" fillId="4" borderId="11" xfId="0" applyFont="1" applyFill="1" applyBorder="1" applyAlignment="1">
      <alignment horizontal="center" vertical="center"/>
    </xf>
    <xf numFmtId="0" fontId="47" fillId="4" borderId="12" xfId="0" applyFont="1" applyFill="1" applyBorder="1" applyAlignment="1">
      <alignment horizontal="center" vertical="center"/>
    </xf>
    <xf numFmtId="0" fontId="52" fillId="9" borderId="0" xfId="0" applyFont="1" applyFill="1" applyAlignment="1">
      <alignment horizontal="center" vertical="center"/>
    </xf>
    <xf numFmtId="0" fontId="47" fillId="4" borderId="1" xfId="0" applyFont="1" applyFill="1" applyBorder="1" applyAlignment="1">
      <alignment horizontal="center" vertical="center"/>
    </xf>
    <xf numFmtId="169" fontId="47" fillId="4" borderId="7"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34" fillId="4" borderId="20" xfId="0" applyFont="1" applyFill="1" applyBorder="1" applyAlignment="1">
      <alignment horizontal="left" vertical="center" wrapText="1" indent="1"/>
    </xf>
    <xf numFmtId="0" fontId="34" fillId="4" borderId="16" xfId="0" applyFont="1" applyFill="1" applyBorder="1" applyAlignment="1">
      <alignment horizontal="left" vertical="center" wrapText="1" indent="1"/>
    </xf>
    <xf numFmtId="0" fontId="47" fillId="4" borderId="0" xfId="8" applyNumberFormat="1" applyFont="1" applyFill="1" applyBorder="1" applyAlignment="1">
      <alignment horizontal="center" vertical="center"/>
    </xf>
    <xf numFmtId="0" fontId="34" fillId="4" borderId="1" xfId="0" applyFont="1" applyFill="1" applyBorder="1" applyAlignment="1">
      <alignment horizontal="center" vertical="center" wrapText="1"/>
    </xf>
    <xf numFmtId="0" fontId="34" fillId="4" borderId="10" xfId="0" applyFont="1" applyFill="1" applyBorder="1" applyAlignment="1">
      <alignment horizontal="center" vertical="center"/>
    </xf>
    <xf numFmtId="0" fontId="19" fillId="13" borderId="16" xfId="0" applyFont="1" applyFill="1" applyBorder="1" applyAlignment="1">
      <alignment horizontal="center" vertical="center" wrapText="1" readingOrder="1"/>
    </xf>
    <xf numFmtId="165" fontId="41" fillId="4" borderId="0" xfId="0" applyNumberFormat="1" applyFont="1" applyFill="1" applyBorder="1" applyAlignment="1">
      <alignment horizontal="center" vertical="center"/>
    </xf>
    <xf numFmtId="169" fontId="34" fillId="4" borderId="22" xfId="0" applyNumberFormat="1" applyFont="1" applyFill="1" applyBorder="1" applyAlignment="1">
      <alignment horizontal="center" vertical="center"/>
    </xf>
    <xf numFmtId="169" fontId="34" fillId="4" borderId="13"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45" fillId="9" borderId="42" xfId="0" applyFont="1" applyFill="1" applyBorder="1" applyAlignment="1">
      <alignment horizontal="center" vertical="center" wrapText="1"/>
    </xf>
    <xf numFmtId="0" fontId="45" fillId="9" borderId="0" xfId="0" applyFont="1" applyFill="1" applyBorder="1" applyAlignment="1">
      <alignment horizontal="left" vertical="center" indent="1"/>
    </xf>
    <xf numFmtId="169" fontId="34" fillId="13" borderId="2" xfId="0" applyNumberFormat="1" applyFont="1" applyFill="1" applyBorder="1" applyAlignment="1">
      <alignment horizontal="center" vertical="center"/>
    </xf>
    <xf numFmtId="169" fontId="34" fillId="13" borderId="11" xfId="0" applyNumberFormat="1" applyFont="1" applyFill="1" applyBorder="1" applyAlignment="1">
      <alignment horizontal="center" vertical="center"/>
    </xf>
    <xf numFmtId="0" fontId="34" fillId="4" borderId="0" xfId="0" applyFont="1" applyFill="1" applyBorder="1" applyAlignment="1">
      <alignment horizontal="left" vertical="center" wrapText="1" indent="1"/>
    </xf>
    <xf numFmtId="0" fontId="45" fillId="9" borderId="49" xfId="0" applyFont="1" applyFill="1" applyBorder="1" applyAlignment="1">
      <alignment horizontal="center" vertical="center"/>
    </xf>
    <xf numFmtId="0" fontId="34" fillId="4" borderId="31" xfId="0" applyFont="1" applyFill="1" applyBorder="1" applyAlignment="1">
      <alignment horizontal="left" vertical="center" wrapText="1" indent="1"/>
    </xf>
    <xf numFmtId="0" fontId="34" fillId="4" borderId="25" xfId="0" applyFont="1" applyFill="1" applyBorder="1" applyAlignment="1">
      <alignment horizontal="left" vertical="center" wrapText="1" indent="1"/>
    </xf>
    <xf numFmtId="0" fontId="34" fillId="4" borderId="2" xfId="7" applyFont="1" applyFill="1" applyBorder="1" applyAlignment="1">
      <alignment horizontal="left" vertical="center" wrapText="1" indent="1"/>
    </xf>
    <xf numFmtId="0" fontId="7" fillId="4" borderId="0" xfId="0" applyFont="1" applyFill="1" applyBorder="1" applyAlignment="1">
      <alignment horizontal="center" vertical="center"/>
    </xf>
    <xf numFmtId="0" fontId="45" fillId="9" borderId="49" xfId="0" applyFont="1" applyFill="1" applyBorder="1" applyAlignment="1">
      <alignment horizontal="center" vertical="center" wrapText="1"/>
    </xf>
    <xf numFmtId="0" fontId="58" fillId="9" borderId="42" xfId="0" applyFont="1" applyFill="1" applyBorder="1" applyAlignment="1">
      <alignment horizontal="center" vertical="center" wrapText="1"/>
    </xf>
    <xf numFmtId="0" fontId="45" fillId="9" borderId="59" xfId="0" applyFont="1" applyFill="1" applyBorder="1" applyAlignment="1">
      <alignment horizontal="center" vertical="center"/>
    </xf>
    <xf numFmtId="0" fontId="19" fillId="4" borderId="0" xfId="0" applyFont="1" applyFill="1" applyBorder="1" applyAlignment="1">
      <alignment horizontal="center" vertical="center"/>
    </xf>
    <xf numFmtId="0" fontId="45" fillId="9" borderId="49" xfId="0" applyFont="1" applyFill="1" applyBorder="1" applyAlignment="1">
      <alignment horizontal="left" vertical="center" indent="1"/>
    </xf>
    <xf numFmtId="49" fontId="19" fillId="4" borderId="8" xfId="0" applyNumberFormat="1" applyFont="1" applyFill="1" applyBorder="1" applyAlignment="1">
      <alignment horizontal="center" vertical="center"/>
    </xf>
    <xf numFmtId="49" fontId="19" fillId="4" borderId="9" xfId="0" applyNumberFormat="1" applyFont="1" applyFill="1" applyBorder="1" applyAlignment="1">
      <alignment horizontal="center" vertical="center"/>
    </xf>
    <xf numFmtId="0" fontId="45" fillId="15" borderId="42" xfId="0" applyFont="1" applyFill="1" applyBorder="1" applyAlignment="1">
      <alignment horizontal="center" vertical="center"/>
    </xf>
    <xf numFmtId="165" fontId="19" fillId="4" borderId="10" xfId="0" applyNumberFormat="1" applyFont="1" applyFill="1" applyBorder="1" applyAlignment="1">
      <alignment horizontal="center" vertical="center"/>
    </xf>
    <xf numFmtId="0" fontId="2" fillId="4" borderId="0" xfId="0" applyNumberFormat="1" applyFont="1" applyFill="1" applyBorder="1" applyAlignment="1">
      <alignment horizontal="left" vertical="center" wrapText="1"/>
    </xf>
    <xf numFmtId="0" fontId="56" fillId="9" borderId="43" xfId="0" applyFont="1" applyFill="1" applyBorder="1" applyAlignment="1">
      <alignment horizontal="center" vertical="center" wrapText="1"/>
    </xf>
    <xf numFmtId="0" fontId="3" fillId="4" borderId="0" xfId="0" applyNumberFormat="1" applyFont="1" applyFill="1" applyBorder="1" applyAlignment="1">
      <alignment horizontal="left" vertical="center" wrapText="1"/>
    </xf>
    <xf numFmtId="0" fontId="45" fillId="9" borderId="63" xfId="0" applyFont="1" applyFill="1" applyBorder="1" applyAlignment="1">
      <alignment horizontal="left" vertical="center" indent="1"/>
    </xf>
    <xf numFmtId="0" fontId="8" fillId="4" borderId="0" xfId="0" applyFont="1" applyFill="1" applyAlignment="1">
      <alignment horizontal="left" vertical="top" wrapText="1"/>
    </xf>
    <xf numFmtId="6" fontId="2" fillId="4" borderId="0" xfId="0" applyNumberFormat="1" applyFont="1" applyFill="1" applyBorder="1" applyAlignment="1">
      <alignment horizontal="center" vertical="center" wrapText="1"/>
    </xf>
    <xf numFmtId="0" fontId="34" fillId="4" borderId="0" xfId="0" applyFont="1" applyFill="1" applyAlignment="1"/>
    <xf numFmtId="0" fontId="64" fillId="4" borderId="5" xfId="0" applyFont="1" applyFill="1" applyBorder="1" applyAlignment="1">
      <alignment horizontal="left" vertical="center" indent="1"/>
    </xf>
    <xf numFmtId="169" fontId="47" fillId="4" borderId="118" xfId="0" applyNumberFormat="1" applyFont="1" applyFill="1" applyBorder="1" applyAlignment="1">
      <alignment horizontal="center" vertical="center"/>
    </xf>
    <xf numFmtId="169" fontId="47" fillId="4" borderId="119" xfId="0" applyNumberFormat="1" applyFont="1" applyFill="1" applyBorder="1" applyAlignment="1">
      <alignment horizontal="center" vertical="center"/>
    </xf>
    <xf numFmtId="169" fontId="47" fillId="4" borderId="120" xfId="0" applyNumberFormat="1" applyFont="1" applyFill="1" applyBorder="1" applyAlignment="1">
      <alignment horizontal="center" vertical="center"/>
    </xf>
    <xf numFmtId="169" fontId="47" fillId="13" borderId="121" xfId="0" applyNumberFormat="1" applyFont="1" applyFill="1" applyBorder="1" applyAlignment="1">
      <alignment horizontal="center" vertical="center"/>
    </xf>
    <xf numFmtId="0" fontId="47" fillId="4" borderId="0" xfId="0" applyFont="1" applyFill="1" applyAlignment="1">
      <alignment vertical="center"/>
    </xf>
    <xf numFmtId="0" fontId="65" fillId="4" borderId="0" xfId="0" applyFont="1" applyFill="1" applyBorder="1" applyAlignment="1">
      <alignment horizontal="left" vertical="center" wrapText="1" indent="1"/>
    </xf>
    <xf numFmtId="9" fontId="47" fillId="4" borderId="0" xfId="0" applyNumberFormat="1" applyFont="1" applyFill="1" applyBorder="1" applyAlignment="1">
      <alignment vertical="center"/>
    </xf>
    <xf numFmtId="0" fontId="43" fillId="7" borderId="0" xfId="0" applyNumberFormat="1" applyFont="1" applyFill="1" applyBorder="1" applyAlignment="1">
      <alignment horizontal="center" vertical="center" wrapText="1"/>
    </xf>
    <xf numFmtId="169" fontId="34" fillId="13" borderId="12"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0" fontId="45" fillId="9" borderId="0" xfId="0" applyFont="1" applyFill="1" applyBorder="1" applyAlignment="1">
      <alignment horizontal="left" vertical="center" indent="1"/>
    </xf>
    <xf numFmtId="0" fontId="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45" fillId="9" borderId="0" xfId="0" applyFont="1" applyFill="1" applyBorder="1" applyAlignment="1">
      <alignment horizontal="left" vertical="center" indent="1"/>
    </xf>
    <xf numFmtId="0" fontId="19" fillId="4" borderId="0" xfId="0" applyFont="1" applyFill="1" applyBorder="1" applyAlignment="1">
      <alignment horizontal="center" vertical="center"/>
    </xf>
    <xf numFmtId="0" fontId="19" fillId="4" borderId="11" xfId="0" applyFont="1" applyFill="1" applyBorder="1" applyAlignment="1">
      <alignment horizontal="center" vertical="center"/>
    </xf>
    <xf numFmtId="0" fontId="45" fillId="9" borderId="95" xfId="0" applyFont="1" applyFill="1" applyBorder="1" applyAlignment="1">
      <alignment horizontal="center" vertical="center"/>
    </xf>
    <xf numFmtId="0" fontId="7" fillId="4" borderId="0" xfId="0" applyFont="1" applyFill="1" applyBorder="1" applyAlignment="1">
      <alignment horizontal="center" vertical="center"/>
    </xf>
    <xf numFmtId="169" fontId="19" fillId="4" borderId="7" xfId="0" applyNumberFormat="1" applyFont="1" applyFill="1" applyBorder="1" applyAlignment="1">
      <alignment horizontal="center" vertical="center"/>
    </xf>
    <xf numFmtId="0" fontId="45" fillId="9" borderId="96" xfId="0" applyFont="1" applyFill="1" applyBorder="1" applyAlignment="1">
      <alignment vertical="center"/>
    </xf>
    <xf numFmtId="0" fontId="19" fillId="4" borderId="17"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9" xfId="0" applyFont="1" applyFill="1" applyBorder="1" applyAlignment="1">
      <alignment horizontal="center" vertical="center"/>
    </xf>
    <xf numFmtId="169" fontId="19" fillId="4" borderId="126" xfId="0" applyNumberFormat="1" applyFont="1" applyFill="1" applyBorder="1" applyAlignment="1">
      <alignment horizontal="center" vertical="center"/>
    </xf>
    <xf numFmtId="0" fontId="34" fillId="16" borderId="123" xfId="0" applyFont="1" applyFill="1" applyBorder="1" applyAlignment="1">
      <alignment horizontal="center" textRotation="90"/>
    </xf>
    <xf numFmtId="0" fontId="4" fillId="4" borderId="0" xfId="0" applyFont="1" applyFill="1" applyAlignment="1">
      <alignment horizontal="right" vertical="center" wrapText="1"/>
    </xf>
    <xf numFmtId="0" fontId="11" fillId="4" borderId="0" xfId="17" applyNumberFormat="1" applyFont="1" applyFill="1" applyBorder="1" applyAlignment="1">
      <alignment horizontal="center" vertical="center" wrapText="1"/>
    </xf>
    <xf numFmtId="1" fontId="12" fillId="4" borderId="0" xfId="17" applyNumberFormat="1" applyFont="1" applyFill="1" applyBorder="1" applyAlignment="1">
      <alignment vertical="top"/>
    </xf>
    <xf numFmtId="0" fontId="33" fillId="4" borderId="0" xfId="0" applyFont="1" applyFill="1" applyBorder="1" applyAlignment="1">
      <alignment horizontal="center" vertical="center"/>
    </xf>
    <xf numFmtId="0" fontId="30" fillId="4" borderId="0" xfId="0" applyFont="1" applyFill="1" applyBorder="1" applyAlignment="1">
      <alignment horizontal="center" vertical="center"/>
    </xf>
    <xf numFmtId="6" fontId="2" fillId="4" borderId="0" xfId="0" applyNumberFormat="1" applyFont="1" applyFill="1" applyBorder="1" applyAlignment="1">
      <alignment horizontal="center" vertical="center" wrapText="1"/>
    </xf>
    <xf numFmtId="0" fontId="33" fillId="4" borderId="0" xfId="0"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6" fontId="42" fillId="4" borderId="0" xfId="0" applyNumberFormat="1" applyFont="1" applyFill="1" applyBorder="1" applyAlignment="1">
      <alignment horizontal="left" vertical="center" wrapText="1"/>
    </xf>
    <xf numFmtId="0" fontId="42"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3" fillId="7" borderId="0" xfId="0" applyNumberFormat="1" applyFont="1" applyFill="1" applyBorder="1" applyAlignment="1">
      <alignment horizontal="center" vertical="center" wrapText="1"/>
    </xf>
    <xf numFmtId="49" fontId="30" fillId="4" borderId="0" xfId="0" applyNumberFormat="1" applyFont="1" applyFill="1" applyBorder="1" applyAlignment="1">
      <alignment horizontal="center" vertical="center"/>
    </xf>
    <xf numFmtId="6" fontId="32" fillId="4" borderId="0" xfId="0"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34" fillId="4" borderId="6" xfId="0" applyFont="1" applyFill="1" applyBorder="1" applyAlignment="1">
      <alignment horizontal="left" vertical="center" wrapText="1" indent="1"/>
    </xf>
    <xf numFmtId="0" fontId="34" fillId="4" borderId="21" xfId="0" applyFont="1" applyFill="1" applyBorder="1" applyAlignment="1">
      <alignment horizontal="left" vertical="center" wrapText="1" indent="1"/>
    </xf>
    <xf numFmtId="170" fontId="19" fillId="4" borderId="18" xfId="0" applyNumberFormat="1" applyFont="1" applyFill="1" applyBorder="1" applyAlignment="1">
      <alignment horizontal="center" vertical="center" wrapText="1"/>
    </xf>
    <xf numFmtId="170" fontId="19" fillId="4" borderId="11" xfId="0" applyNumberFormat="1" applyFont="1" applyFill="1" applyBorder="1" applyAlignment="1">
      <alignment horizontal="center" vertical="center" wrapText="1"/>
    </xf>
    <xf numFmtId="170" fontId="19" fillId="4" borderId="6" xfId="0" applyNumberFormat="1" applyFont="1" applyFill="1" applyBorder="1" applyAlignment="1">
      <alignment horizontal="center" vertical="center" wrapText="1"/>
    </xf>
    <xf numFmtId="170" fontId="19" fillId="4" borderId="7" xfId="0" applyNumberFormat="1" applyFont="1" applyFill="1" applyBorder="1" applyAlignment="1">
      <alignment horizontal="center" vertical="center" wrapText="1"/>
    </xf>
    <xf numFmtId="0" fontId="34" fillId="4" borderId="7" xfId="0" applyFont="1" applyFill="1" applyBorder="1" applyAlignment="1">
      <alignment horizontal="left" vertical="center" wrapText="1" indent="1"/>
    </xf>
    <xf numFmtId="0" fontId="34" fillId="4" borderId="22" xfId="0" applyFont="1" applyFill="1" applyBorder="1" applyAlignment="1">
      <alignment horizontal="left" vertical="center" wrapText="1" indent="1"/>
    </xf>
    <xf numFmtId="0" fontId="34" fillId="4" borderId="35" xfId="0" applyFont="1" applyFill="1" applyBorder="1" applyAlignment="1">
      <alignment horizontal="left" vertical="center" wrapText="1" indent="1"/>
    </xf>
    <xf numFmtId="0" fontId="34" fillId="4" borderId="13" xfId="0" applyFont="1" applyFill="1" applyBorder="1" applyAlignment="1">
      <alignment horizontal="left" vertical="center" wrapText="1" indent="1"/>
    </xf>
    <xf numFmtId="165" fontId="34" fillId="4" borderId="20" xfId="0" applyNumberFormat="1" applyFont="1" applyFill="1" applyBorder="1" applyAlignment="1">
      <alignment horizontal="center" vertical="center"/>
    </xf>
    <xf numFmtId="165" fontId="34" fillId="4" borderId="16" xfId="0" applyNumberFormat="1" applyFont="1" applyFill="1" applyBorder="1" applyAlignment="1">
      <alignment horizontal="center" vertical="center"/>
    </xf>
    <xf numFmtId="165" fontId="34" fillId="4" borderId="10" xfId="0" applyNumberFormat="1" applyFont="1" applyFill="1" applyBorder="1" applyAlignment="1">
      <alignment horizontal="center" vertical="center"/>
    </xf>
    <xf numFmtId="0" fontId="45" fillId="9" borderId="0" xfId="0" applyFont="1" applyFill="1" applyBorder="1" applyAlignment="1">
      <alignment horizontal="center" vertical="center" wrapText="1" readingOrder="1"/>
    </xf>
    <xf numFmtId="0" fontId="45" fillId="9" borderId="43" xfId="0" applyFont="1" applyFill="1" applyBorder="1" applyAlignment="1">
      <alignment horizontal="center" vertical="center" wrapText="1" readingOrder="1"/>
    </xf>
    <xf numFmtId="0" fontId="52" fillId="14" borderId="0" xfId="0" applyFont="1" applyFill="1" applyAlignment="1">
      <alignment horizontal="center" vertical="center"/>
    </xf>
    <xf numFmtId="0" fontId="34" fillId="4" borderId="18" xfId="0" applyFont="1" applyFill="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11" xfId="0" applyFont="1" applyFill="1" applyBorder="1" applyAlignment="1">
      <alignment horizontal="left" vertical="center" wrapText="1" indent="1"/>
    </xf>
    <xf numFmtId="0" fontId="45" fillId="9" borderId="42" xfId="0" applyFont="1" applyFill="1" applyBorder="1" applyAlignment="1">
      <alignment horizontal="center" vertical="center" wrapText="1" readingOrder="1"/>
    </xf>
    <xf numFmtId="0" fontId="34" fillId="4" borderId="47" xfId="0" applyFont="1" applyFill="1" applyBorder="1" applyAlignment="1">
      <alignment horizontal="left" vertical="center" wrapText="1" indent="1"/>
    </xf>
    <xf numFmtId="0" fontId="34" fillId="4" borderId="48" xfId="0" applyFont="1" applyFill="1" applyBorder="1" applyAlignment="1">
      <alignment horizontal="left" vertical="center" wrapText="1" indent="1"/>
    </xf>
    <xf numFmtId="0" fontId="54" fillId="9" borderId="0" xfId="0" applyFont="1" applyFill="1" applyBorder="1" applyAlignment="1">
      <alignment horizontal="center" vertical="center" wrapText="1" readingOrder="1"/>
    </xf>
    <xf numFmtId="0" fontId="54" fillId="9" borderId="42" xfId="0" applyFont="1" applyFill="1" applyBorder="1" applyAlignment="1">
      <alignment horizontal="center" vertical="center" wrapText="1" readingOrder="1"/>
    </xf>
    <xf numFmtId="6" fontId="19" fillId="0" borderId="17" xfId="0" applyNumberFormat="1" applyFont="1" applyFill="1" applyBorder="1" applyAlignment="1">
      <alignment horizontal="center" vertical="center" wrapText="1"/>
    </xf>
    <xf numFmtId="6" fontId="19" fillId="0" borderId="12" xfId="0" applyNumberFormat="1" applyFont="1" applyFill="1" applyBorder="1" applyAlignment="1">
      <alignment horizontal="center" vertical="center" wrapText="1"/>
    </xf>
    <xf numFmtId="0" fontId="34" fillId="4" borderId="6" xfId="0" applyFont="1" applyFill="1" applyBorder="1" applyAlignment="1">
      <alignment horizontal="left" vertical="center" indent="1"/>
    </xf>
    <xf numFmtId="0" fontId="34" fillId="4" borderId="21" xfId="0" applyFont="1" applyFill="1" applyBorder="1" applyAlignment="1">
      <alignment horizontal="left" vertical="center" indent="1"/>
    </xf>
    <xf numFmtId="0" fontId="34" fillId="4" borderId="7" xfId="0" applyFont="1" applyFill="1" applyBorder="1" applyAlignment="1">
      <alignment horizontal="left" vertical="center" indent="1"/>
    </xf>
    <xf numFmtId="0" fontId="19" fillId="4" borderId="6" xfId="0" applyFont="1" applyFill="1" applyBorder="1" applyAlignment="1">
      <alignment horizontal="left" vertical="center" wrapText="1" indent="1"/>
    </xf>
    <xf numFmtId="0" fontId="19" fillId="4" borderId="21"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34" fillId="19" borderId="1" xfId="0" applyFont="1" applyFill="1" applyBorder="1" applyAlignment="1">
      <alignment horizontal="center" vertical="center" textRotation="90"/>
    </xf>
    <xf numFmtId="0" fontId="34" fillId="19" borderId="82" xfId="0" applyFont="1" applyFill="1" applyBorder="1" applyAlignment="1">
      <alignment horizontal="center" vertical="center" textRotation="90"/>
    </xf>
    <xf numFmtId="0" fontId="61" fillId="0" borderId="6"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7" xfId="0" applyFont="1" applyFill="1" applyBorder="1" applyAlignment="1">
      <alignment horizontal="center" vertical="center" wrapText="1"/>
    </xf>
    <xf numFmtId="0" fontId="19" fillId="4" borderId="6" xfId="0" applyFont="1" applyFill="1" applyBorder="1" applyAlignment="1">
      <alignment horizontal="left" vertical="center" indent="1"/>
    </xf>
    <xf numFmtId="0" fontId="19" fillId="4" borderId="21" xfId="0" applyFont="1" applyFill="1" applyBorder="1" applyAlignment="1">
      <alignment horizontal="left" vertical="center" indent="1"/>
    </xf>
    <xf numFmtId="0" fontId="19" fillId="4" borderId="7" xfId="0" applyFont="1" applyFill="1" applyBorder="1" applyAlignment="1">
      <alignment horizontal="left" vertical="center" indent="1"/>
    </xf>
    <xf numFmtId="0" fontId="47" fillId="4" borderId="3" xfId="0" applyFont="1" applyFill="1" applyBorder="1" applyAlignment="1">
      <alignment horizontal="left" vertical="center" indent="1"/>
    </xf>
    <xf numFmtId="0" fontId="47" fillId="4" borderId="0" xfId="0" applyFont="1" applyFill="1" applyBorder="1" applyAlignment="1">
      <alignment horizontal="left" vertical="center" indent="1"/>
    </xf>
    <xf numFmtId="0" fontId="47" fillId="4" borderId="1" xfId="0" applyFont="1" applyFill="1" applyBorder="1" applyAlignment="1">
      <alignment horizontal="left" vertical="center" indent="1"/>
    </xf>
    <xf numFmtId="0" fontId="34" fillId="4" borderId="17" xfId="0" applyFont="1" applyFill="1" applyBorder="1" applyAlignment="1">
      <alignment horizontal="left" vertical="center" wrapText="1" indent="1"/>
    </xf>
    <xf numFmtId="0" fontId="34" fillId="4" borderId="33" xfId="0" applyFont="1" applyFill="1" applyBorder="1" applyAlignment="1">
      <alignment horizontal="left" vertical="center" wrapText="1" indent="1"/>
    </xf>
    <xf numFmtId="0" fontId="34" fillId="4" borderId="12" xfId="0" applyFont="1" applyFill="1" applyBorder="1" applyAlignment="1">
      <alignment horizontal="left" vertical="center" wrapText="1" indent="1"/>
    </xf>
    <xf numFmtId="0" fontId="34" fillId="0" borderId="6" xfId="0" applyFont="1" applyFill="1" applyBorder="1" applyAlignment="1">
      <alignment horizontal="left" vertical="center" wrapText="1" indent="1"/>
    </xf>
    <xf numFmtId="0" fontId="34" fillId="0" borderId="21" xfId="0" applyFont="1" applyFill="1" applyBorder="1" applyAlignment="1">
      <alignment horizontal="left" vertical="center" wrapText="1" indent="1"/>
    </xf>
    <xf numFmtId="0" fontId="34" fillId="0" borderId="7" xfId="0" applyFont="1" applyFill="1" applyBorder="1" applyAlignment="1">
      <alignment horizontal="left" vertical="center" wrapText="1" indent="1"/>
    </xf>
    <xf numFmtId="0" fontId="19" fillId="4" borderId="18" xfId="0" applyFont="1" applyFill="1" applyBorder="1" applyAlignment="1">
      <alignment horizontal="left" vertical="center" wrapText="1" indent="1"/>
    </xf>
    <xf numFmtId="0" fontId="19" fillId="4" borderId="2" xfId="0" applyFont="1" applyFill="1" applyBorder="1" applyAlignment="1">
      <alignment horizontal="left" vertical="center" wrapText="1" indent="1"/>
    </xf>
    <xf numFmtId="0" fontId="19" fillId="4" borderId="11" xfId="0" applyFont="1" applyFill="1" applyBorder="1" applyAlignment="1">
      <alignment horizontal="left" vertical="center" wrapText="1" indent="1"/>
    </xf>
    <xf numFmtId="0" fontId="19" fillId="4" borderId="84" xfId="0" applyFont="1" applyFill="1" applyBorder="1" applyAlignment="1">
      <alignment horizontal="left" vertical="center" wrapText="1" indent="1"/>
    </xf>
    <xf numFmtId="0" fontId="19" fillId="4" borderId="85" xfId="0" applyFont="1" applyFill="1" applyBorder="1" applyAlignment="1">
      <alignment horizontal="left" vertical="center" wrapText="1" indent="1"/>
    </xf>
    <xf numFmtId="0" fontId="19" fillId="4" borderId="86" xfId="0" applyFont="1" applyFill="1" applyBorder="1" applyAlignment="1">
      <alignment horizontal="left" vertical="center" wrapText="1" indent="1"/>
    </xf>
    <xf numFmtId="0" fontId="19" fillId="4" borderId="18" xfId="0" applyFont="1" applyFill="1" applyBorder="1" applyAlignment="1">
      <alignment horizontal="left" vertical="center" indent="1"/>
    </xf>
    <xf numFmtId="0" fontId="19" fillId="4" borderId="2" xfId="0" applyFont="1" applyFill="1" applyBorder="1" applyAlignment="1">
      <alignment horizontal="left" vertical="center" indent="1"/>
    </xf>
    <xf numFmtId="0" fontId="19" fillId="4" borderId="11" xfId="0" applyFont="1" applyFill="1" applyBorder="1" applyAlignment="1">
      <alignment horizontal="left" vertical="center" indent="1"/>
    </xf>
    <xf numFmtId="0" fontId="34" fillId="21" borderId="87" xfId="0" applyFont="1" applyFill="1" applyBorder="1" applyAlignment="1">
      <alignment horizontal="center" vertical="center" textRotation="90"/>
    </xf>
    <xf numFmtId="0" fontId="34" fillId="21" borderId="1" xfId="0" applyFont="1" applyFill="1" applyBorder="1" applyAlignment="1">
      <alignment horizontal="center" vertical="center" textRotation="90"/>
    </xf>
    <xf numFmtId="0" fontId="34" fillId="21" borderId="82" xfId="0" applyFont="1" applyFill="1" applyBorder="1" applyAlignment="1">
      <alignment horizontal="center" vertical="center" textRotation="90"/>
    </xf>
    <xf numFmtId="0" fontId="34" fillId="5" borderId="87" xfId="0" applyFont="1" applyFill="1" applyBorder="1" applyAlignment="1">
      <alignment horizontal="center" vertical="center" textRotation="90"/>
    </xf>
    <xf numFmtId="0" fontId="34" fillId="5" borderId="1" xfId="0" applyFont="1" applyFill="1" applyBorder="1" applyAlignment="1">
      <alignment horizontal="center" vertical="center" textRotation="90"/>
    </xf>
    <xf numFmtId="0" fontId="19" fillId="4" borderId="84" xfId="0" applyFont="1" applyFill="1" applyBorder="1" applyAlignment="1">
      <alignment horizontal="left" vertical="center" indent="1"/>
    </xf>
    <xf numFmtId="0" fontId="19" fillId="4" borderId="85" xfId="0" applyFont="1" applyFill="1" applyBorder="1" applyAlignment="1">
      <alignment horizontal="left" vertical="center" indent="1"/>
    </xf>
    <xf numFmtId="0" fontId="19" fillId="4" borderId="86" xfId="0" applyFont="1" applyFill="1" applyBorder="1" applyAlignment="1">
      <alignment horizontal="left" vertical="center" indent="1"/>
    </xf>
    <xf numFmtId="0" fontId="34" fillId="0" borderId="6" xfId="0" applyFont="1" applyFill="1" applyBorder="1" applyAlignment="1">
      <alignment horizontal="left" vertical="center" indent="1"/>
    </xf>
    <xf numFmtId="0" fontId="34" fillId="0" borderId="21" xfId="0" applyFont="1" applyFill="1" applyBorder="1" applyAlignment="1">
      <alignment horizontal="left" vertical="center" indent="1"/>
    </xf>
    <xf numFmtId="0" fontId="34" fillId="0" borderId="7" xfId="0" applyFont="1" applyFill="1" applyBorder="1" applyAlignment="1">
      <alignment horizontal="left" vertical="center" indent="1"/>
    </xf>
    <xf numFmtId="0" fontId="34" fillId="4" borderId="26" xfId="0" applyFont="1" applyFill="1" applyBorder="1" applyAlignment="1">
      <alignment horizontal="left" vertical="center" indent="1"/>
    </xf>
    <xf numFmtId="0" fontId="34" fillId="4" borderId="36" xfId="0" applyFont="1" applyFill="1" applyBorder="1" applyAlignment="1">
      <alignment horizontal="left" vertical="center" indent="1"/>
    </xf>
    <xf numFmtId="0" fontId="34" fillId="4" borderId="27" xfId="0" applyFont="1" applyFill="1" applyBorder="1" applyAlignment="1">
      <alignment horizontal="left" vertical="center" indent="1"/>
    </xf>
    <xf numFmtId="0" fontId="34" fillId="4" borderId="17" xfId="0" applyFont="1" applyFill="1" applyBorder="1" applyAlignment="1">
      <alignment horizontal="left" vertical="center" indent="1"/>
    </xf>
    <xf numFmtId="0" fontId="34" fillId="4" borderId="33" xfId="0" applyFont="1" applyFill="1" applyBorder="1" applyAlignment="1">
      <alignment horizontal="left" vertical="center" indent="1"/>
    </xf>
    <xf numFmtId="0" fontId="34" fillId="4" borderId="12" xfId="0" applyFont="1" applyFill="1" applyBorder="1" applyAlignment="1">
      <alignment horizontal="left" vertical="center" indent="1"/>
    </xf>
    <xf numFmtId="0" fontId="34" fillId="20" borderId="87" xfId="0" applyFont="1" applyFill="1" applyBorder="1" applyAlignment="1">
      <alignment horizontal="center" vertical="center" textRotation="90" wrapText="1"/>
    </xf>
    <xf numFmtId="0" fontId="34" fillId="20" borderId="1" xfId="0" applyFont="1" applyFill="1" applyBorder="1" applyAlignment="1">
      <alignment horizontal="center" vertical="center" textRotation="90" wrapText="1"/>
    </xf>
    <xf numFmtId="0" fontId="34" fillId="20" borderId="82" xfId="0" applyFont="1" applyFill="1" applyBorder="1" applyAlignment="1">
      <alignment horizontal="center" vertical="center" textRotation="90" wrapText="1"/>
    </xf>
    <xf numFmtId="0" fontId="45" fillId="22" borderId="0" xfId="0" applyFont="1" applyFill="1" applyBorder="1" applyAlignment="1">
      <alignment horizontal="center" vertical="center"/>
    </xf>
    <xf numFmtId="0" fontId="19" fillId="4" borderId="17" xfId="0" applyFont="1" applyFill="1" applyBorder="1" applyAlignment="1">
      <alignment horizontal="left" vertical="center" wrapText="1" indent="1"/>
    </xf>
    <xf numFmtId="0" fontId="19" fillId="4" borderId="33" xfId="0" applyFont="1" applyFill="1" applyBorder="1" applyAlignment="1">
      <alignment horizontal="left" vertical="center" wrapText="1" indent="1"/>
    </xf>
    <xf numFmtId="0" fontId="19" fillId="4" borderId="12" xfId="0" applyFont="1" applyFill="1" applyBorder="1" applyAlignment="1">
      <alignment horizontal="left" vertical="center" wrapText="1" indent="1"/>
    </xf>
    <xf numFmtId="0" fontId="48" fillId="7" borderId="34" xfId="0" applyNumberFormat="1" applyFont="1" applyFill="1" applyBorder="1" applyAlignment="1">
      <alignment horizontal="center" vertical="center" wrapText="1"/>
    </xf>
    <xf numFmtId="0" fontId="48" fillId="7" borderId="31" xfId="0" applyNumberFormat="1" applyFont="1" applyFill="1" applyBorder="1" applyAlignment="1">
      <alignment horizontal="center" vertical="center" wrapText="1"/>
    </xf>
    <xf numFmtId="0" fontId="48" fillId="7" borderId="25" xfId="0" applyNumberFormat="1" applyFont="1" applyFill="1" applyBorder="1" applyAlignment="1">
      <alignment horizontal="center" vertical="center" wrapText="1"/>
    </xf>
    <xf numFmtId="0" fontId="47" fillId="4" borderId="18" xfId="0" applyFont="1" applyFill="1" applyBorder="1" applyAlignment="1">
      <alignment horizontal="left" vertical="center" indent="1"/>
    </xf>
    <xf numFmtId="0" fontId="47" fillId="4" borderId="2" xfId="0" applyFont="1" applyFill="1" applyBorder="1" applyAlignment="1">
      <alignment horizontal="left" vertical="center" indent="1"/>
    </xf>
    <xf numFmtId="0" fontId="47" fillId="4" borderId="11" xfId="0" applyFont="1" applyFill="1" applyBorder="1" applyAlignment="1">
      <alignment horizontal="left" vertical="center" indent="1"/>
    </xf>
    <xf numFmtId="0" fontId="34" fillId="4" borderId="19" xfId="0" applyFont="1" applyFill="1" applyBorder="1" applyAlignment="1">
      <alignment horizontal="left" vertical="center" wrapText="1" indent="1"/>
    </xf>
    <xf numFmtId="0" fontId="34" fillId="4" borderId="37" xfId="0" applyFont="1" applyFill="1" applyBorder="1" applyAlignment="1">
      <alignment horizontal="left" vertical="center" wrapText="1" indent="1"/>
    </xf>
    <xf numFmtId="0" fontId="34" fillId="4" borderId="32" xfId="0" applyFont="1" applyFill="1" applyBorder="1" applyAlignment="1">
      <alignment horizontal="left" vertical="center" wrapText="1" indent="1"/>
    </xf>
    <xf numFmtId="169" fontId="34" fillId="4" borderId="26"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0" fontId="45" fillId="22" borderId="88" xfId="0" applyFont="1" applyFill="1" applyBorder="1" applyAlignment="1">
      <alignment horizontal="center" vertical="center"/>
    </xf>
    <xf numFmtId="169" fontId="47" fillId="0" borderId="22" xfId="0" applyNumberFormat="1" applyFont="1" applyBorder="1" applyAlignment="1">
      <alignment horizontal="center"/>
    </xf>
    <xf numFmtId="169" fontId="47" fillId="0" borderId="13" xfId="0" applyNumberFormat="1" applyFont="1" applyBorder="1" applyAlignment="1">
      <alignment horizontal="center"/>
    </xf>
    <xf numFmtId="0" fontId="45" fillId="23" borderId="89" xfId="0" applyFont="1" applyFill="1" applyBorder="1" applyAlignment="1">
      <alignment horizontal="center" vertical="center"/>
    </xf>
    <xf numFmtId="0" fontId="45" fillId="23" borderId="90" xfId="0" applyFont="1" applyFill="1" applyBorder="1" applyAlignment="1">
      <alignment horizontal="center" vertical="center"/>
    </xf>
    <xf numFmtId="0" fontId="45" fillId="23" borderId="0" xfId="0" applyFont="1" applyFill="1" applyBorder="1" applyAlignment="1">
      <alignment horizontal="center" vertical="center"/>
    </xf>
    <xf numFmtId="0" fontId="45" fillId="23" borderId="91" xfId="0" applyFont="1" applyFill="1" applyBorder="1" applyAlignment="1">
      <alignment horizontal="center" vertical="center"/>
    </xf>
    <xf numFmtId="6" fontId="19" fillId="4" borderId="16" xfId="1" applyNumberFormat="1" applyFont="1" applyFill="1" applyBorder="1" applyAlignment="1">
      <alignment horizontal="center" vertical="center"/>
    </xf>
    <xf numFmtId="6" fontId="19" fillId="4" borderId="10" xfId="1" applyNumberFormat="1" applyFont="1" applyFill="1" applyBorder="1" applyAlignment="1">
      <alignment horizontal="center" vertical="center"/>
    </xf>
    <xf numFmtId="0" fontId="19" fillId="4" borderId="17" xfId="0" applyFont="1" applyFill="1" applyBorder="1" applyAlignment="1">
      <alignment horizontal="left" vertical="center" indent="1"/>
    </xf>
    <xf numFmtId="0" fontId="19" fillId="4" borderId="33" xfId="0" applyFont="1" applyFill="1" applyBorder="1" applyAlignment="1">
      <alignment horizontal="left" vertical="center" indent="1"/>
    </xf>
    <xf numFmtId="0" fontId="19" fillId="4" borderId="12" xfId="0" applyFont="1" applyFill="1" applyBorder="1" applyAlignment="1">
      <alignment horizontal="left" vertical="center" indent="1"/>
    </xf>
    <xf numFmtId="169" fontId="34" fillId="4" borderId="6" xfId="0" applyNumberFormat="1" applyFont="1" applyFill="1" applyBorder="1" applyAlignment="1">
      <alignment horizontal="center" vertical="center"/>
    </xf>
    <xf numFmtId="169" fontId="34" fillId="4" borderId="7" xfId="0" applyNumberFormat="1" applyFont="1" applyFill="1" applyBorder="1" applyAlignment="1">
      <alignment horizontal="center" vertical="center"/>
    </xf>
    <xf numFmtId="0" fontId="34" fillId="4" borderId="83" xfId="0" applyFont="1" applyFill="1" applyBorder="1" applyAlignment="1">
      <alignment horizontal="left" vertical="center" wrapText="1" indent="1"/>
    </xf>
    <xf numFmtId="0" fontId="45" fillId="9" borderId="0" xfId="0" applyFont="1" applyFill="1" applyBorder="1" applyAlignment="1">
      <alignment horizontal="center" vertical="center"/>
    </xf>
    <xf numFmtId="0" fontId="45" fillId="9" borderId="43" xfId="0" applyFont="1" applyFill="1" applyBorder="1" applyAlignment="1">
      <alignment horizontal="center" vertical="center"/>
    </xf>
    <xf numFmtId="169" fontId="34" fillId="13" borderId="27" xfId="0" applyNumberFormat="1" applyFont="1" applyFill="1" applyBorder="1" applyAlignment="1">
      <alignment horizontal="center" vertical="center"/>
    </xf>
    <xf numFmtId="169" fontId="34" fillId="13" borderId="12" xfId="0" applyNumberFormat="1" applyFont="1" applyFill="1" applyBorder="1" applyAlignment="1">
      <alignment horizontal="center" vertical="center"/>
    </xf>
    <xf numFmtId="0" fontId="34" fillId="4" borderId="26" xfId="0" applyFont="1" applyFill="1" applyBorder="1" applyAlignment="1">
      <alignment horizontal="left" vertical="center" wrapText="1" indent="1"/>
    </xf>
    <xf numFmtId="0" fontId="34" fillId="4" borderId="36" xfId="0" applyFont="1" applyFill="1" applyBorder="1" applyAlignment="1">
      <alignment horizontal="left" vertical="center" wrapText="1" indent="1"/>
    </xf>
    <xf numFmtId="0" fontId="34" fillId="4" borderId="27" xfId="0" applyFont="1" applyFill="1" applyBorder="1" applyAlignment="1">
      <alignment horizontal="left" vertical="center" wrapText="1" indent="1"/>
    </xf>
    <xf numFmtId="0" fontId="45" fillId="9" borderId="42" xfId="0" applyFont="1" applyFill="1" applyBorder="1" applyAlignment="1">
      <alignment horizontal="center" vertical="center"/>
    </xf>
    <xf numFmtId="0" fontId="52" fillId="17" borderId="31" xfId="0" applyFont="1" applyFill="1" applyBorder="1" applyAlignment="1">
      <alignment horizontal="center" vertical="center"/>
    </xf>
    <xf numFmtId="0" fontId="47" fillId="4" borderId="38" xfId="0" applyFont="1" applyFill="1" applyBorder="1" applyAlignment="1">
      <alignment horizontal="left" vertical="center" indent="1"/>
    </xf>
    <xf numFmtId="0" fontId="47" fillId="4" borderId="29" xfId="0" applyFont="1" applyFill="1" applyBorder="1" applyAlignment="1">
      <alignment horizontal="left" vertical="center" indent="1"/>
    </xf>
    <xf numFmtId="0" fontId="47" fillId="4" borderId="39" xfId="0" applyFont="1" applyFill="1" applyBorder="1" applyAlignment="1">
      <alignment horizontal="left" vertical="center" indent="1"/>
    </xf>
    <xf numFmtId="0" fontId="47" fillId="4" borderId="17" xfId="0" applyFont="1" applyFill="1" applyBorder="1" applyAlignment="1">
      <alignment horizontal="left" vertical="center" indent="1"/>
    </xf>
    <xf numFmtId="0" fontId="47" fillId="4" borderId="33" xfId="0" applyFont="1" applyFill="1" applyBorder="1" applyAlignment="1">
      <alignment horizontal="left" vertical="center" indent="1"/>
    </xf>
    <xf numFmtId="0" fontId="47" fillId="4" borderId="12" xfId="0" applyFont="1" applyFill="1" applyBorder="1" applyAlignment="1">
      <alignment horizontal="left" vertical="center" indent="1"/>
    </xf>
    <xf numFmtId="0" fontId="47" fillId="4" borderId="26" xfId="0" applyFont="1" applyFill="1" applyBorder="1" applyAlignment="1">
      <alignment horizontal="left" vertical="center" indent="1"/>
    </xf>
    <xf numFmtId="0" fontId="47" fillId="4" borderId="36" xfId="0" applyFont="1" applyFill="1" applyBorder="1" applyAlignment="1">
      <alignment horizontal="left" vertical="center" indent="1"/>
    </xf>
    <xf numFmtId="0" fontId="47" fillId="4" borderId="27" xfId="0" applyFont="1" applyFill="1" applyBorder="1" applyAlignment="1">
      <alignment horizontal="left" vertical="center" indent="1"/>
    </xf>
    <xf numFmtId="0" fontId="34" fillId="4" borderId="47" xfId="0" applyFont="1" applyFill="1" applyBorder="1" applyAlignment="1">
      <alignment horizontal="left" vertical="center" indent="1"/>
    </xf>
    <xf numFmtId="0" fontId="34" fillId="4" borderId="83" xfId="0" applyFont="1" applyFill="1" applyBorder="1" applyAlignment="1">
      <alignment horizontal="left" vertical="center" indent="1"/>
    </xf>
    <xf numFmtId="0" fontId="34" fillId="4" borderId="48" xfId="0" applyFont="1" applyFill="1" applyBorder="1" applyAlignment="1">
      <alignment horizontal="left" vertical="center" indent="1"/>
    </xf>
    <xf numFmtId="0" fontId="52" fillId="9" borderId="0" xfId="0" applyFont="1" applyFill="1" applyAlignment="1">
      <alignment horizontal="center" vertical="center"/>
    </xf>
    <xf numFmtId="169" fontId="47" fillId="4" borderId="6" xfId="0" applyNumberFormat="1" applyFont="1" applyFill="1" applyBorder="1" applyAlignment="1">
      <alignment horizontal="center" vertical="center"/>
    </xf>
    <xf numFmtId="169" fontId="47" fillId="4" borderId="21" xfId="0" applyNumberFormat="1" applyFont="1" applyFill="1" applyBorder="1" applyAlignment="1">
      <alignment horizontal="center" vertical="center"/>
    </xf>
    <xf numFmtId="169" fontId="47" fillId="4" borderId="7" xfId="0" applyNumberFormat="1" applyFont="1" applyFill="1" applyBorder="1" applyAlignment="1">
      <alignment horizontal="center" vertical="center"/>
    </xf>
    <xf numFmtId="169" fontId="47" fillId="4" borderId="22" xfId="0" applyNumberFormat="1" applyFont="1" applyFill="1" applyBorder="1" applyAlignment="1">
      <alignment horizontal="center" vertical="center"/>
    </xf>
    <xf numFmtId="169" fontId="47" fillId="4" borderId="35" xfId="0" applyNumberFormat="1" applyFont="1" applyFill="1" applyBorder="1" applyAlignment="1">
      <alignment horizontal="center" vertical="center"/>
    </xf>
    <xf numFmtId="169" fontId="47" fillId="4" borderId="13" xfId="0" applyNumberFormat="1" applyFont="1" applyFill="1" applyBorder="1" applyAlignment="1">
      <alignment horizontal="center" vertical="center"/>
    </xf>
    <xf numFmtId="169" fontId="47" fillId="4" borderId="17" xfId="0" applyNumberFormat="1" applyFont="1" applyFill="1" applyBorder="1" applyAlignment="1">
      <alignment horizontal="center" vertical="center"/>
    </xf>
    <xf numFmtId="169" fontId="47" fillId="4" borderId="33" xfId="0" applyNumberFormat="1" applyFont="1" applyFill="1" applyBorder="1" applyAlignment="1">
      <alignment horizontal="center" vertical="center"/>
    </xf>
    <xf numFmtId="169" fontId="47" fillId="4" borderId="12" xfId="0" applyNumberFormat="1" applyFont="1" applyFill="1" applyBorder="1" applyAlignment="1">
      <alignment horizontal="center" vertical="center"/>
    </xf>
    <xf numFmtId="0" fontId="52" fillId="9" borderId="96" xfId="0" applyFont="1" applyFill="1" applyBorder="1" applyAlignment="1">
      <alignment horizontal="center" vertical="center"/>
    </xf>
    <xf numFmtId="0" fontId="52" fillId="9" borderId="42" xfId="0" applyFont="1" applyFill="1" applyBorder="1" applyAlignment="1">
      <alignment horizontal="center" vertical="center"/>
    </xf>
    <xf numFmtId="0" fontId="52" fillId="9" borderId="96" xfId="0" applyFont="1" applyFill="1" applyBorder="1" applyAlignment="1">
      <alignment horizontal="center" wrapText="1"/>
    </xf>
    <xf numFmtId="0" fontId="52" fillId="9" borderId="42" xfId="0" applyFont="1" applyFill="1" applyBorder="1" applyAlignment="1">
      <alignment horizontal="center" wrapText="1"/>
    </xf>
    <xf numFmtId="0" fontId="52" fillId="9" borderId="0" xfId="0" applyFont="1" applyFill="1" applyBorder="1" applyAlignment="1">
      <alignment horizontal="center" vertical="center"/>
    </xf>
    <xf numFmtId="169" fontId="47" fillId="4" borderId="3" xfId="0" applyNumberFormat="1" applyFont="1" applyFill="1" applyBorder="1" applyAlignment="1">
      <alignment horizontal="right" vertical="center" indent="1"/>
    </xf>
    <xf numFmtId="169" fontId="47" fillId="4" borderId="0" xfId="0" applyNumberFormat="1" applyFont="1" applyFill="1" applyBorder="1" applyAlignment="1">
      <alignment horizontal="right" vertical="center" indent="1"/>
    </xf>
    <xf numFmtId="169" fontId="47" fillId="4" borderId="1" xfId="0" applyNumberFormat="1" applyFont="1" applyFill="1" applyBorder="1" applyAlignment="1">
      <alignment horizontal="right" vertical="center" indent="1"/>
    </xf>
    <xf numFmtId="169" fontId="47" fillId="4" borderId="17" xfId="0" applyNumberFormat="1" applyFont="1" applyFill="1" applyBorder="1" applyAlignment="1">
      <alignment horizontal="right" vertical="center" indent="1"/>
    </xf>
    <xf numFmtId="169" fontId="47" fillId="4" borderId="33" xfId="0" applyNumberFormat="1" applyFont="1" applyFill="1" applyBorder="1" applyAlignment="1">
      <alignment horizontal="right" vertical="center" indent="1"/>
    </xf>
    <xf numFmtId="169" fontId="47" fillId="4" borderId="12" xfId="0" applyNumberFormat="1" applyFont="1" applyFill="1" applyBorder="1" applyAlignment="1">
      <alignment horizontal="right" vertical="center" indent="1"/>
    </xf>
    <xf numFmtId="0" fontId="52" fillId="18" borderId="122" xfId="0" applyFont="1" applyFill="1" applyBorder="1" applyAlignment="1">
      <alignment horizontal="center" vertical="center"/>
    </xf>
    <xf numFmtId="0" fontId="52" fillId="18" borderId="87" xfId="0" applyFont="1" applyFill="1" applyBorder="1" applyAlignment="1">
      <alignment horizontal="center" vertical="center"/>
    </xf>
    <xf numFmtId="0" fontId="52" fillId="18" borderId="3" xfId="0" applyFont="1" applyFill="1" applyBorder="1" applyAlignment="1">
      <alignment horizontal="center" vertical="center"/>
    </xf>
    <xf numFmtId="0" fontId="52" fillId="18" borderId="1" xfId="0" applyFont="1" applyFill="1" applyBorder="1" applyAlignment="1">
      <alignment horizontal="center" vertical="center"/>
    </xf>
    <xf numFmtId="0" fontId="52" fillId="9" borderId="63" xfId="0" applyFont="1" applyFill="1" applyBorder="1" applyAlignment="1">
      <alignment horizontal="center" vertical="center"/>
    </xf>
    <xf numFmtId="0" fontId="52" fillId="9" borderId="59" xfId="0" applyFont="1" applyFill="1" applyBorder="1" applyAlignment="1">
      <alignment horizontal="center" vertical="center"/>
    </xf>
    <xf numFmtId="169" fontId="47" fillId="4" borderId="6" xfId="0" applyNumberFormat="1" applyFont="1" applyFill="1" applyBorder="1" applyAlignment="1">
      <alignment horizontal="right" vertical="center" indent="1"/>
    </xf>
    <xf numFmtId="169" fontId="47" fillId="4" borderId="7" xfId="0" applyNumberFormat="1" applyFont="1" applyFill="1" applyBorder="1" applyAlignment="1">
      <alignment horizontal="right" vertical="center" indent="1"/>
    </xf>
    <xf numFmtId="0" fontId="47" fillId="4" borderId="3" xfId="0" applyFont="1" applyFill="1" applyBorder="1" applyAlignment="1">
      <alignment horizontal="center" vertical="center"/>
    </xf>
    <xf numFmtId="0" fontId="47" fillId="4" borderId="1" xfId="0" applyFont="1" applyFill="1" applyBorder="1" applyAlignment="1">
      <alignment horizontal="center" vertical="center"/>
    </xf>
    <xf numFmtId="0" fontId="47" fillId="4" borderId="17" xfId="0" applyFont="1" applyFill="1" applyBorder="1" applyAlignment="1">
      <alignment horizontal="center" vertical="center"/>
    </xf>
    <xf numFmtId="0" fontId="47" fillId="4" borderId="12" xfId="0" applyFont="1" applyFill="1" applyBorder="1" applyAlignment="1">
      <alignment horizontal="center" vertical="center"/>
    </xf>
    <xf numFmtId="0" fontId="47" fillId="4" borderId="6" xfId="0" applyFont="1" applyFill="1" applyBorder="1" applyAlignment="1">
      <alignment horizontal="center" vertical="center"/>
    </xf>
    <xf numFmtId="0" fontId="47" fillId="4" borderId="7" xfId="0" applyFont="1" applyFill="1" applyBorder="1" applyAlignment="1">
      <alignment horizontal="center" vertical="center"/>
    </xf>
    <xf numFmtId="169" fontId="47" fillId="4" borderId="22" xfId="0" applyNumberFormat="1" applyFont="1" applyFill="1" applyBorder="1" applyAlignment="1">
      <alignment horizontal="right" vertical="center" indent="1"/>
    </xf>
    <xf numFmtId="169" fontId="47" fillId="4" borderId="13" xfId="0" applyNumberFormat="1" applyFont="1" applyFill="1" applyBorder="1" applyAlignment="1">
      <alignment horizontal="right" vertical="center" indent="1"/>
    </xf>
    <xf numFmtId="0" fontId="65" fillId="4" borderId="6" xfId="0" applyFont="1" applyFill="1" applyBorder="1" applyAlignment="1">
      <alignment horizontal="left" vertical="center" wrapText="1" indent="1"/>
    </xf>
    <xf numFmtId="0" fontId="65" fillId="4" borderId="7" xfId="0" applyFont="1" applyFill="1" applyBorder="1" applyAlignment="1">
      <alignment horizontal="left" vertical="center" wrapText="1" indent="1"/>
    </xf>
    <xf numFmtId="0" fontId="65" fillId="4" borderId="22" xfId="0" applyFont="1" applyFill="1" applyBorder="1" applyAlignment="1">
      <alignment horizontal="left" vertical="center" wrapText="1" indent="1"/>
    </xf>
    <xf numFmtId="0" fontId="65" fillId="4" borderId="13" xfId="0" applyFont="1" applyFill="1" applyBorder="1" applyAlignment="1">
      <alignment horizontal="left" vertical="center" wrapText="1" indent="1"/>
    </xf>
    <xf numFmtId="0" fontId="65" fillId="4" borderId="17" xfId="0" applyFont="1" applyFill="1" applyBorder="1" applyAlignment="1">
      <alignment horizontal="left" vertical="center" indent="1"/>
    </xf>
    <xf numFmtId="0" fontId="65" fillId="4" borderId="12" xfId="0" applyFont="1" applyFill="1" applyBorder="1" applyAlignment="1">
      <alignment horizontal="left" vertical="center" indent="1"/>
    </xf>
    <xf numFmtId="0" fontId="65" fillId="4" borderId="6" xfId="0" applyFont="1" applyFill="1" applyBorder="1" applyAlignment="1">
      <alignment horizontal="left" vertical="center" indent="1"/>
    </xf>
    <xf numFmtId="0" fontId="65" fillId="4" borderId="7" xfId="0" applyFont="1" applyFill="1" applyBorder="1" applyAlignment="1">
      <alignment horizontal="left" vertical="center" indent="1"/>
    </xf>
    <xf numFmtId="0" fontId="47" fillId="4" borderId="22" xfId="0" applyFont="1" applyFill="1" applyBorder="1" applyAlignment="1">
      <alignment horizontal="center" vertical="center"/>
    </xf>
    <xf numFmtId="0" fontId="47" fillId="4" borderId="13" xfId="0" applyFont="1" applyFill="1" applyBorder="1" applyAlignment="1">
      <alignment horizontal="center" vertical="center"/>
    </xf>
    <xf numFmtId="0" fontId="64" fillId="4" borderId="26" xfId="0" applyFont="1" applyFill="1" applyBorder="1" applyAlignment="1">
      <alignment horizontal="left" vertical="center" indent="1"/>
    </xf>
    <xf numFmtId="0" fontId="64" fillId="4" borderId="27" xfId="0" applyFont="1" applyFill="1" applyBorder="1" applyAlignment="1">
      <alignment horizontal="left" vertical="center" indent="1"/>
    </xf>
    <xf numFmtId="0" fontId="64" fillId="4" borderId="18" xfId="0" applyFont="1" applyFill="1" applyBorder="1" applyAlignment="1">
      <alignment horizontal="left" vertical="center" indent="1"/>
    </xf>
    <xf numFmtId="0" fontId="64" fillId="4" borderId="11" xfId="0" applyFont="1" applyFill="1" applyBorder="1" applyAlignment="1">
      <alignment horizontal="left" vertical="center" indent="1"/>
    </xf>
    <xf numFmtId="0" fontId="47" fillId="4" borderId="26" xfId="0" applyFont="1" applyFill="1" applyBorder="1" applyAlignment="1">
      <alignment horizontal="center" vertical="center"/>
    </xf>
    <xf numFmtId="0" fontId="47" fillId="4" borderId="27" xfId="0" applyFont="1" applyFill="1" applyBorder="1" applyAlignment="1">
      <alignment horizontal="center" vertical="center"/>
    </xf>
    <xf numFmtId="0" fontId="47" fillId="4" borderId="18" xfId="0" applyFont="1" applyFill="1" applyBorder="1" applyAlignment="1">
      <alignment horizontal="center" vertical="center"/>
    </xf>
    <xf numFmtId="0" fontId="47" fillId="4" borderId="11" xfId="0" applyFont="1" applyFill="1" applyBorder="1" applyAlignment="1">
      <alignment horizontal="center" vertical="center"/>
    </xf>
    <xf numFmtId="0" fontId="64" fillId="4" borderId="3" xfId="0" applyFont="1" applyFill="1" applyBorder="1" applyAlignment="1">
      <alignment horizontal="left" vertical="center" indent="1"/>
    </xf>
    <xf numFmtId="0" fontId="64" fillId="4" borderId="1" xfId="0" applyFont="1" applyFill="1" applyBorder="1" applyAlignment="1">
      <alignment horizontal="left" vertical="center" indent="1"/>
    </xf>
    <xf numFmtId="0" fontId="47" fillId="4" borderId="6" xfId="0" applyFont="1" applyFill="1" applyBorder="1" applyAlignment="1">
      <alignment horizontal="left" vertical="center" indent="1"/>
    </xf>
    <xf numFmtId="0" fontId="47" fillId="4" borderId="21" xfId="0" applyFont="1" applyFill="1" applyBorder="1" applyAlignment="1">
      <alignment horizontal="left" vertical="center" indent="1"/>
    </xf>
    <xf numFmtId="0" fontId="47" fillId="4" borderId="7" xfId="0" applyFont="1" applyFill="1" applyBorder="1" applyAlignment="1">
      <alignment horizontal="left" vertical="center" indent="1"/>
    </xf>
    <xf numFmtId="0" fontId="47" fillId="4" borderId="22" xfId="0" applyFont="1" applyFill="1" applyBorder="1" applyAlignment="1">
      <alignment horizontal="left" vertical="center" indent="1"/>
    </xf>
    <xf numFmtId="0" fontId="47" fillId="4" borderId="35" xfId="0" applyFont="1" applyFill="1" applyBorder="1" applyAlignment="1">
      <alignment horizontal="left" vertical="center" indent="1"/>
    </xf>
    <xf numFmtId="0" fontId="47" fillId="4" borderId="13" xfId="0" applyFont="1" applyFill="1" applyBorder="1" applyAlignment="1">
      <alignment horizontal="left" vertical="center" indent="1"/>
    </xf>
    <xf numFmtId="0" fontId="64" fillId="4" borderId="38" xfId="0" applyFont="1" applyFill="1" applyBorder="1" applyAlignment="1">
      <alignment horizontal="left" vertical="center" indent="1"/>
    </xf>
    <xf numFmtId="0" fontId="64" fillId="4" borderId="39" xfId="0" applyFont="1" applyFill="1" applyBorder="1" applyAlignment="1">
      <alignment horizontal="left" vertical="center" indent="1"/>
    </xf>
    <xf numFmtId="169" fontId="47" fillId="4" borderId="21" xfId="0" applyNumberFormat="1" applyFont="1" applyFill="1" applyBorder="1" applyAlignment="1">
      <alignment horizontal="right" vertical="center" indent="1"/>
    </xf>
    <xf numFmtId="0" fontId="64" fillId="4" borderId="17" xfId="0" applyFont="1" applyFill="1" applyBorder="1" applyAlignment="1">
      <alignment horizontal="left" vertical="center" indent="1"/>
    </xf>
    <xf numFmtId="0" fontId="64" fillId="4" borderId="12" xfId="0" applyFont="1" applyFill="1" applyBorder="1" applyAlignment="1">
      <alignment horizontal="left" vertical="center" indent="1"/>
    </xf>
    <xf numFmtId="0" fontId="64" fillId="4" borderId="6" xfId="0" applyFont="1" applyFill="1" applyBorder="1" applyAlignment="1">
      <alignment horizontal="left" vertical="center" indent="1"/>
    </xf>
    <xf numFmtId="0" fontId="64" fillId="4" borderId="7" xfId="0" applyFont="1" applyFill="1" applyBorder="1" applyAlignment="1">
      <alignment horizontal="left" vertical="center" indent="1"/>
    </xf>
    <xf numFmtId="0" fontId="65" fillId="4" borderId="22" xfId="0" applyFont="1" applyFill="1" applyBorder="1" applyAlignment="1">
      <alignment horizontal="left" vertical="center" indent="1"/>
    </xf>
    <xf numFmtId="0" fontId="65" fillId="4" borderId="13" xfId="0" applyFont="1" applyFill="1" applyBorder="1" applyAlignment="1">
      <alignment horizontal="left" vertical="center" indent="1"/>
    </xf>
    <xf numFmtId="0" fontId="65" fillId="4" borderId="17" xfId="0" applyFont="1" applyFill="1" applyBorder="1" applyAlignment="1">
      <alignment horizontal="left" vertical="center" wrapText="1" indent="1"/>
    </xf>
    <xf numFmtId="0" fontId="65" fillId="4" borderId="12" xfId="0" applyFont="1" applyFill="1" applyBorder="1" applyAlignment="1">
      <alignment horizontal="left" vertical="center" wrapText="1" indent="1"/>
    </xf>
    <xf numFmtId="169" fontId="47" fillId="4" borderId="26" xfId="0" applyNumberFormat="1" applyFont="1" applyFill="1" applyBorder="1" applyAlignment="1">
      <alignment horizontal="right" vertical="center" indent="1"/>
    </xf>
    <xf numFmtId="169" fontId="47" fillId="4" borderId="36" xfId="0" applyNumberFormat="1" applyFont="1" applyFill="1" applyBorder="1" applyAlignment="1">
      <alignment horizontal="right" vertical="center" indent="1"/>
    </xf>
    <xf numFmtId="169" fontId="47" fillId="4" borderId="27" xfId="0" applyNumberFormat="1" applyFont="1" applyFill="1" applyBorder="1" applyAlignment="1">
      <alignment horizontal="right" vertical="center" indent="1"/>
    </xf>
    <xf numFmtId="169" fontId="47" fillId="4" borderId="18" xfId="0" applyNumberFormat="1" applyFont="1" applyFill="1" applyBorder="1" applyAlignment="1">
      <alignment horizontal="right" vertical="center" indent="1"/>
    </xf>
    <xf numFmtId="169" fontId="47" fillId="4" borderId="2" xfId="0" applyNumberFormat="1" applyFont="1" applyFill="1" applyBorder="1" applyAlignment="1">
      <alignment horizontal="right" vertical="center" indent="1"/>
    </xf>
    <xf numFmtId="169" fontId="47" fillId="4" borderId="11" xfId="0" applyNumberFormat="1" applyFont="1" applyFill="1" applyBorder="1" applyAlignment="1">
      <alignment horizontal="right" vertical="center" indent="1"/>
    </xf>
    <xf numFmtId="0" fontId="47" fillId="4" borderId="38" xfId="0" applyFont="1" applyFill="1" applyBorder="1" applyAlignment="1">
      <alignment horizontal="center" vertical="center"/>
    </xf>
    <xf numFmtId="0" fontId="47" fillId="4" borderId="39" xfId="0" applyFont="1" applyFill="1" applyBorder="1" applyAlignment="1">
      <alignment horizontal="center" vertical="center"/>
    </xf>
    <xf numFmtId="169" fontId="47" fillId="4" borderId="38" xfId="0" applyNumberFormat="1" applyFont="1" applyFill="1" applyBorder="1" applyAlignment="1">
      <alignment horizontal="right" vertical="center" indent="1"/>
    </xf>
    <xf numFmtId="169" fontId="47" fillId="4" borderId="29" xfId="0" applyNumberFormat="1" applyFont="1" applyFill="1" applyBorder="1" applyAlignment="1">
      <alignment horizontal="right" vertical="center" indent="1"/>
    </xf>
    <xf numFmtId="169" fontId="47" fillId="4" borderId="39" xfId="0" applyNumberFormat="1" applyFont="1" applyFill="1" applyBorder="1" applyAlignment="1">
      <alignment horizontal="right" vertical="center" indent="1"/>
    </xf>
    <xf numFmtId="0" fontId="34" fillId="24" borderId="1" xfId="0" applyFont="1" applyFill="1" applyBorder="1" applyAlignment="1">
      <alignment horizontal="center" vertical="center" textRotation="90"/>
    </xf>
    <xf numFmtId="0" fontId="34" fillId="24" borderId="92" xfId="0" applyFont="1" applyFill="1" applyBorder="1" applyAlignment="1">
      <alignment horizontal="center" vertical="center" textRotation="90"/>
    </xf>
    <xf numFmtId="169" fontId="34" fillId="4" borderId="6" xfId="8" applyNumberFormat="1" applyFont="1" applyFill="1" applyBorder="1" applyAlignment="1">
      <alignment horizontal="center"/>
    </xf>
    <xf numFmtId="169" fontId="34" fillId="4" borderId="7" xfId="8" applyNumberFormat="1" applyFont="1" applyFill="1" applyBorder="1" applyAlignment="1">
      <alignment horizontal="center"/>
    </xf>
    <xf numFmtId="169" fontId="34" fillId="4" borderId="19" xfId="0" applyNumberFormat="1" applyFont="1" applyFill="1" applyBorder="1" applyAlignment="1">
      <alignment horizontal="center" vertical="center"/>
    </xf>
    <xf numFmtId="169" fontId="34" fillId="4" borderId="32" xfId="0" applyNumberFormat="1" applyFont="1" applyFill="1" applyBorder="1" applyAlignment="1">
      <alignment horizontal="center" vertical="center"/>
    </xf>
    <xf numFmtId="0" fontId="34" fillId="4" borderId="6" xfId="11" applyFont="1" applyFill="1" applyBorder="1" applyAlignment="1">
      <alignment horizontal="left" indent="1"/>
    </xf>
    <xf numFmtId="0" fontId="34" fillId="4" borderId="7" xfId="11" applyFont="1" applyFill="1" applyBorder="1" applyAlignment="1">
      <alignment horizontal="left" indent="1"/>
    </xf>
    <xf numFmtId="0" fontId="41" fillId="4" borderId="0" xfId="0" applyFont="1" applyFill="1" applyBorder="1" applyAlignment="1">
      <alignment horizontal="center" vertical="center" wrapText="1"/>
    </xf>
    <xf numFmtId="0" fontId="19" fillId="13" borderId="16" xfId="0" applyFont="1" applyFill="1" applyBorder="1" applyAlignment="1">
      <alignment horizontal="center" vertical="center" wrapText="1" readingOrder="1"/>
    </xf>
    <xf numFmtId="0" fontId="34" fillId="4" borderId="20" xfId="0" applyFont="1" applyFill="1" applyBorder="1" applyAlignment="1">
      <alignment horizontal="center" vertical="center"/>
    </xf>
    <xf numFmtId="0" fontId="34" fillId="4" borderId="16" xfId="0" applyFont="1" applyFill="1" applyBorder="1" applyAlignment="1">
      <alignment horizontal="center" vertical="center"/>
    </xf>
    <xf numFmtId="0" fontId="34" fillId="4" borderId="10" xfId="0" applyFont="1" applyFill="1" applyBorder="1" applyAlignment="1">
      <alignment horizontal="center" vertical="center"/>
    </xf>
    <xf numFmtId="165" fontId="41" fillId="4" borderId="0" xfId="0" applyNumberFormat="1" applyFont="1" applyFill="1" applyBorder="1" applyAlignment="1">
      <alignment horizontal="center" vertical="center"/>
    </xf>
    <xf numFmtId="169" fontId="34" fillId="4" borderId="22" xfId="0" applyNumberFormat="1" applyFont="1" applyFill="1" applyBorder="1" applyAlignment="1">
      <alignment horizontal="center" vertical="center"/>
    </xf>
    <xf numFmtId="169" fontId="34" fillId="4" borderId="13" xfId="0" applyNumberFormat="1" applyFont="1" applyFill="1" applyBorder="1" applyAlignment="1">
      <alignment horizontal="center" vertical="center"/>
    </xf>
    <xf numFmtId="169" fontId="34" fillId="4" borderId="17" xfId="8" applyNumberFormat="1" applyFont="1" applyFill="1" applyBorder="1" applyAlignment="1">
      <alignment horizontal="center"/>
    </xf>
    <xf numFmtId="169" fontId="34" fillId="4" borderId="12" xfId="8" applyNumberFormat="1" applyFont="1" applyFill="1" applyBorder="1" applyAlignment="1">
      <alignment horizontal="center"/>
    </xf>
    <xf numFmtId="0" fontId="45" fillId="9" borderId="0" xfId="0" applyFont="1" applyFill="1" applyBorder="1" applyAlignment="1">
      <alignment horizontal="center" vertical="center" wrapText="1"/>
    </xf>
    <xf numFmtId="165" fontId="34" fillId="4" borderId="38" xfId="0" applyNumberFormat="1" applyFont="1" applyFill="1" applyBorder="1" applyAlignment="1">
      <alignment horizontal="center" vertical="center"/>
    </xf>
    <xf numFmtId="165" fontId="34" fillId="4" borderId="39" xfId="0" applyNumberFormat="1" applyFont="1" applyFill="1" applyBorder="1" applyAlignment="1">
      <alignment horizontal="center" vertical="center"/>
    </xf>
    <xf numFmtId="165" fontId="34" fillId="4" borderId="3" xfId="0" applyNumberFormat="1" applyFont="1" applyFill="1" applyBorder="1" applyAlignment="1">
      <alignment horizontal="center" vertical="center"/>
    </xf>
    <xf numFmtId="165" fontId="34" fillId="4" borderId="1" xfId="0" applyNumberFormat="1" applyFont="1" applyFill="1" applyBorder="1" applyAlignment="1">
      <alignment horizontal="center" vertical="center"/>
    </xf>
    <xf numFmtId="165" fontId="34" fillId="4" borderId="18" xfId="0" applyNumberFormat="1" applyFont="1" applyFill="1" applyBorder="1" applyAlignment="1">
      <alignment horizontal="center" vertical="center"/>
    </xf>
    <xf numFmtId="165" fontId="34" fillId="4" borderId="11" xfId="0" applyNumberFormat="1" applyFont="1" applyFill="1" applyBorder="1" applyAlignment="1">
      <alignment horizontal="center" vertical="center"/>
    </xf>
    <xf numFmtId="0" fontId="45" fillId="9" borderId="42" xfId="0" applyFont="1" applyFill="1" applyBorder="1" applyAlignment="1">
      <alignment horizontal="center" vertical="center" wrapText="1"/>
    </xf>
    <xf numFmtId="0" fontId="34" fillId="4" borderId="20" xfId="0" applyFont="1" applyFill="1" applyBorder="1" applyAlignment="1">
      <alignment horizontal="left" vertical="center" indent="1"/>
    </xf>
    <xf numFmtId="0" fontId="34" fillId="4" borderId="16" xfId="0" applyFont="1" applyFill="1" applyBorder="1" applyAlignment="1">
      <alignment horizontal="left" vertical="center" indent="1"/>
    </xf>
    <xf numFmtId="0" fontId="34" fillId="4" borderId="10" xfId="0" applyFont="1" applyFill="1" applyBorder="1" applyAlignment="1">
      <alignment horizontal="left" vertical="center" indent="1"/>
    </xf>
    <xf numFmtId="0" fontId="34" fillId="4" borderId="22" xfId="11" applyFont="1" applyFill="1" applyBorder="1" applyAlignment="1">
      <alignment horizontal="left" indent="1"/>
    </xf>
    <xf numFmtId="0" fontId="34" fillId="4" borderId="13" xfId="11" applyFont="1" applyFill="1" applyBorder="1" applyAlignment="1">
      <alignment horizontal="left" indent="1"/>
    </xf>
    <xf numFmtId="0" fontId="19" fillId="13" borderId="16" xfId="0" applyFont="1" applyFill="1" applyBorder="1" applyAlignment="1">
      <alignment horizontal="left" vertical="center" wrapText="1" indent="1" readingOrder="1"/>
    </xf>
    <xf numFmtId="0" fontId="19" fillId="13" borderId="10" xfId="0" applyFont="1" applyFill="1" applyBorder="1" applyAlignment="1">
      <alignment horizontal="left" vertical="center" wrapText="1" indent="1" readingOrder="1"/>
    </xf>
    <xf numFmtId="0" fontId="34" fillId="4" borderId="6" xfId="0" applyFont="1" applyFill="1" applyBorder="1" applyAlignment="1">
      <alignment horizontal="left" vertical="center" indent="1" readingOrder="1"/>
    </xf>
    <xf numFmtId="0" fontId="34" fillId="4" borderId="7" xfId="0" applyFont="1" applyFill="1" applyBorder="1" applyAlignment="1">
      <alignment horizontal="left" vertical="center" indent="1" readingOrder="1"/>
    </xf>
    <xf numFmtId="0" fontId="34" fillId="4" borderId="22" xfId="0" applyFont="1" applyFill="1" applyBorder="1" applyAlignment="1">
      <alignment horizontal="left" vertical="center" indent="1" readingOrder="1"/>
    </xf>
    <xf numFmtId="0" fontId="34" fillId="4" borderId="13" xfId="0" applyFont="1" applyFill="1" applyBorder="1" applyAlignment="1">
      <alignment horizontal="left" vertical="center" indent="1" readingOrder="1"/>
    </xf>
    <xf numFmtId="0" fontId="34" fillId="4" borderId="19" xfId="0" applyFont="1" applyFill="1" applyBorder="1" applyAlignment="1">
      <alignment horizontal="left" vertical="center" indent="1" readingOrder="1"/>
    </xf>
    <xf numFmtId="0" fontId="34" fillId="4" borderId="32" xfId="0" applyFont="1" applyFill="1" applyBorder="1" applyAlignment="1">
      <alignment horizontal="left" vertical="center" indent="1" readingOrder="1"/>
    </xf>
    <xf numFmtId="169" fontId="34" fillId="4" borderId="22" xfId="8" applyNumberFormat="1" applyFont="1" applyFill="1" applyBorder="1" applyAlignment="1">
      <alignment horizontal="center"/>
    </xf>
    <xf numFmtId="169" fontId="34" fillId="4" borderId="13" xfId="8" applyNumberFormat="1" applyFont="1" applyFill="1" applyBorder="1" applyAlignment="1">
      <alignment horizontal="center"/>
    </xf>
    <xf numFmtId="0" fontId="34" fillId="16" borderId="1" xfId="0" applyFont="1" applyFill="1" applyBorder="1" applyAlignment="1">
      <alignment horizontal="center" vertical="center" textRotation="90"/>
    </xf>
    <xf numFmtId="0" fontId="19" fillId="13" borderId="17" xfId="0" applyFont="1" applyFill="1" applyBorder="1" applyAlignment="1">
      <alignment horizontal="left" vertical="center" wrapText="1" indent="1" readingOrder="1"/>
    </xf>
    <xf numFmtId="0" fontId="19" fillId="13" borderId="12" xfId="0" applyFont="1" applyFill="1" applyBorder="1" applyAlignment="1">
      <alignment horizontal="left" vertical="center" wrapText="1" indent="1" readingOrder="1"/>
    </xf>
    <xf numFmtId="0" fontId="19" fillId="13" borderId="6" xfId="0" applyFont="1" applyFill="1" applyBorder="1" applyAlignment="1">
      <alignment horizontal="left" vertical="center" wrapText="1" indent="1" readingOrder="1"/>
    </xf>
    <xf numFmtId="0" fontId="19" fillId="13" borderId="7" xfId="0" applyFont="1" applyFill="1" applyBorder="1" applyAlignment="1">
      <alignment horizontal="left" vertical="center" wrapText="1" indent="1" readingOrder="1"/>
    </xf>
    <xf numFmtId="0" fontId="52" fillId="9" borderId="0" xfId="11" applyFont="1" applyFill="1" applyBorder="1" applyAlignment="1">
      <alignment horizontal="left" wrapText="1" indent="1"/>
    </xf>
    <xf numFmtId="0" fontId="34" fillId="4" borderId="8" xfId="0" applyFont="1" applyFill="1" applyBorder="1" applyAlignment="1">
      <alignment horizontal="center" vertical="center"/>
    </xf>
    <xf numFmtId="169" fontId="34" fillId="4" borderId="34" xfId="0" applyNumberFormat="1" applyFont="1" applyFill="1" applyBorder="1" applyAlignment="1">
      <alignment horizontal="center" vertical="center"/>
    </xf>
    <xf numFmtId="169" fontId="34" fillId="4" borderId="25" xfId="0" applyNumberFormat="1" applyFont="1" applyFill="1" applyBorder="1" applyAlignment="1">
      <alignment horizontal="center" vertical="center"/>
    </xf>
    <xf numFmtId="169" fontId="34" fillId="4" borderId="18" xfId="0" applyNumberFormat="1" applyFont="1" applyFill="1" applyBorder="1" applyAlignment="1">
      <alignment horizontal="center" vertical="center"/>
    </xf>
    <xf numFmtId="169" fontId="34" fillId="4" borderId="11" xfId="0" applyNumberFormat="1" applyFont="1" applyFill="1" applyBorder="1" applyAlignment="1">
      <alignment horizontal="center" vertical="center"/>
    </xf>
    <xf numFmtId="0" fontId="34" fillId="4" borderId="38" xfId="0" applyFont="1" applyFill="1" applyBorder="1" applyAlignment="1">
      <alignment horizontal="center" vertical="center" wrapText="1"/>
    </xf>
    <xf numFmtId="0" fontId="34" fillId="4" borderId="39" xfId="0" applyFont="1" applyFill="1" applyBorder="1" applyAlignment="1">
      <alignment horizontal="center" vertical="center" wrapText="1"/>
    </xf>
    <xf numFmtId="0" fontId="34" fillId="4" borderId="18" xfId="0" applyFont="1" applyFill="1" applyBorder="1" applyAlignment="1">
      <alignment horizontal="center" vertical="center" wrapText="1"/>
    </xf>
    <xf numFmtId="0" fontId="34" fillId="4" borderId="11" xfId="0" applyFont="1" applyFill="1" applyBorder="1" applyAlignment="1">
      <alignment horizontal="center" vertical="center" wrapText="1"/>
    </xf>
    <xf numFmtId="0" fontId="34" fillId="4" borderId="34" xfId="0" applyFont="1" applyFill="1" applyBorder="1" applyAlignment="1">
      <alignment horizontal="center" vertical="center" wrapText="1"/>
    </xf>
    <xf numFmtId="0" fontId="34" fillId="4" borderId="25" xfId="0" applyFont="1" applyFill="1" applyBorder="1" applyAlignment="1">
      <alignment horizontal="center" vertical="center" wrapText="1"/>
    </xf>
    <xf numFmtId="0" fontId="47" fillId="4" borderId="0" xfId="8" applyNumberFormat="1" applyFont="1" applyFill="1" applyBorder="1" applyAlignment="1">
      <alignment horizontal="center" vertical="center"/>
    </xf>
    <xf numFmtId="0" fontId="47" fillId="4" borderId="2" xfId="8" applyNumberFormat="1" applyFont="1" applyFill="1" applyBorder="1" applyAlignment="1">
      <alignment horizontal="center" vertical="center"/>
    </xf>
    <xf numFmtId="0" fontId="34" fillId="4" borderId="3"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4" fillId="4" borderId="16" xfId="0" applyFont="1" applyFill="1" applyBorder="1" applyAlignment="1">
      <alignment horizontal="left" vertical="center" wrapText="1"/>
    </xf>
    <xf numFmtId="0" fontId="34" fillId="4" borderId="10" xfId="0" applyFont="1" applyFill="1" applyBorder="1" applyAlignment="1">
      <alignment horizontal="left" vertical="center" wrapText="1"/>
    </xf>
    <xf numFmtId="0" fontId="45" fillId="9" borderId="0" xfId="0" applyFont="1" applyFill="1" applyBorder="1" applyAlignment="1">
      <alignment horizontal="left" vertical="center" wrapText="1" indent="1"/>
    </xf>
    <xf numFmtId="0" fontId="34" fillId="4" borderId="17" xfId="11" applyFont="1" applyFill="1" applyBorder="1" applyAlignment="1">
      <alignment horizontal="left" indent="1"/>
    </xf>
    <xf numFmtId="0" fontId="34" fillId="4" borderId="12" xfId="11" applyFont="1" applyFill="1" applyBorder="1" applyAlignment="1">
      <alignment horizontal="left" indent="1"/>
    </xf>
    <xf numFmtId="0" fontId="34" fillId="4" borderId="20" xfId="0" applyFont="1" applyFill="1" applyBorder="1" applyAlignment="1">
      <alignment horizontal="left" vertical="center" wrapText="1" indent="1"/>
    </xf>
    <xf numFmtId="0" fontId="34" fillId="4" borderId="16" xfId="0" applyFont="1" applyFill="1" applyBorder="1" applyAlignment="1">
      <alignment horizontal="left" vertical="center" wrapText="1" indent="1"/>
    </xf>
    <xf numFmtId="0" fontId="34" fillId="4" borderId="10" xfId="0" applyFont="1" applyFill="1" applyBorder="1" applyAlignment="1">
      <alignment horizontal="left" vertical="center" wrapText="1" indent="1"/>
    </xf>
    <xf numFmtId="0" fontId="34" fillId="4" borderId="20" xfId="0" applyFont="1" applyFill="1" applyBorder="1" applyAlignment="1">
      <alignment horizontal="left" vertical="center" wrapText="1"/>
    </xf>
    <xf numFmtId="0" fontId="45" fillId="9" borderId="0" xfId="0" applyFont="1" applyFill="1" applyBorder="1" applyAlignment="1">
      <alignment horizontal="center"/>
    </xf>
    <xf numFmtId="0" fontId="45" fillId="9" borderId="0" xfId="0" applyFont="1" applyFill="1" applyBorder="1" applyAlignment="1">
      <alignment horizontal="left" vertical="center" indent="1"/>
    </xf>
    <xf numFmtId="0" fontId="19" fillId="4" borderId="22" xfId="0" applyFont="1" applyFill="1" applyBorder="1" applyAlignment="1">
      <alignment horizontal="left" vertical="center" indent="1"/>
    </xf>
    <xf numFmtId="0" fontId="19" fillId="4" borderId="13" xfId="0" applyFont="1" applyFill="1" applyBorder="1" applyAlignment="1">
      <alignment horizontal="left" vertical="center" indent="1"/>
    </xf>
    <xf numFmtId="0" fontId="34" fillId="4" borderId="34" xfId="0" applyFont="1" applyFill="1" applyBorder="1" applyAlignment="1">
      <alignment horizontal="left" vertical="center" indent="1"/>
    </xf>
    <xf numFmtId="0" fontId="34" fillId="4" borderId="25" xfId="0" applyFont="1" applyFill="1" applyBorder="1" applyAlignment="1">
      <alignment horizontal="left" vertical="center" indent="1"/>
    </xf>
    <xf numFmtId="0" fontId="34" fillId="4" borderId="22" xfId="0" applyFont="1" applyFill="1" applyBorder="1" applyAlignment="1">
      <alignment horizontal="left" vertical="center" indent="1"/>
    </xf>
    <xf numFmtId="0" fontId="34" fillId="4" borderId="13" xfId="0" applyFont="1" applyFill="1" applyBorder="1" applyAlignment="1">
      <alignment horizontal="left" vertical="center" indent="1"/>
    </xf>
    <xf numFmtId="0" fontId="19" fillId="4" borderId="19" xfId="0" applyFont="1" applyFill="1" applyBorder="1" applyAlignment="1">
      <alignment horizontal="left" vertical="center" indent="1"/>
    </xf>
    <xf numFmtId="0" fontId="19" fillId="4" borderId="32" xfId="0" applyFont="1" applyFill="1" applyBorder="1" applyAlignment="1">
      <alignment horizontal="left" vertical="center" indent="1"/>
    </xf>
    <xf numFmtId="0" fontId="19" fillId="4" borderId="34" xfId="0" applyFont="1" applyFill="1" applyBorder="1" applyAlignment="1">
      <alignment horizontal="left" vertical="center" wrapText="1" indent="1"/>
    </xf>
    <xf numFmtId="0" fontId="19" fillId="4" borderId="25" xfId="0" applyFont="1" applyFill="1" applyBorder="1" applyAlignment="1">
      <alignment horizontal="left" vertical="center" wrapText="1" indent="1"/>
    </xf>
    <xf numFmtId="0" fontId="48" fillId="7" borderId="20" xfId="0" applyNumberFormat="1" applyFont="1" applyFill="1" applyBorder="1" applyAlignment="1">
      <alignment horizontal="center" vertical="center" wrapText="1"/>
    </xf>
    <xf numFmtId="0" fontId="48" fillId="7" borderId="8" xfId="0" applyNumberFormat="1" applyFont="1" applyFill="1" applyBorder="1" applyAlignment="1">
      <alignment horizontal="center" vertical="center" wrapText="1"/>
    </xf>
    <xf numFmtId="0" fontId="47" fillId="4" borderId="0" xfId="0" applyFont="1" applyFill="1" applyBorder="1" applyAlignment="1">
      <alignment horizontal="left" vertical="center" wrapText="1"/>
    </xf>
    <xf numFmtId="0" fontId="34" fillId="4" borderId="18" xfId="0" applyFont="1" applyFill="1" applyBorder="1" applyAlignment="1">
      <alignment horizontal="center" vertical="center"/>
    </xf>
    <xf numFmtId="0" fontId="34" fillId="4" borderId="2" xfId="0" applyFont="1" applyFill="1" applyBorder="1" applyAlignment="1">
      <alignment horizontal="center" vertical="center"/>
    </xf>
    <xf numFmtId="3" fontId="16" fillId="12" borderId="19" xfId="0" applyNumberFormat="1" applyFont="1" applyFill="1" applyBorder="1" applyAlignment="1">
      <alignment horizontal="center" vertical="center"/>
    </xf>
    <xf numFmtId="3" fontId="16" fillId="12" borderId="32" xfId="0" applyNumberFormat="1" applyFont="1" applyFill="1" applyBorder="1" applyAlignment="1">
      <alignment horizontal="center" vertical="center"/>
    </xf>
    <xf numFmtId="169" fontId="23" fillId="4" borderId="21" xfId="0" applyNumberFormat="1" applyFont="1" applyFill="1" applyBorder="1" applyAlignment="1">
      <alignment horizontal="center" vertical="center"/>
    </xf>
    <xf numFmtId="169" fontId="23" fillId="4" borderId="7" xfId="0" applyNumberFormat="1" applyFont="1" applyFill="1" applyBorder="1" applyAlignment="1">
      <alignment horizontal="center" vertical="center"/>
    </xf>
    <xf numFmtId="169" fontId="23" fillId="4" borderId="35" xfId="0" applyNumberFormat="1" applyFont="1" applyFill="1" applyBorder="1" applyAlignment="1">
      <alignment horizontal="center" vertical="center"/>
    </xf>
    <xf numFmtId="169" fontId="23" fillId="4" borderId="13" xfId="0" applyNumberFormat="1" applyFont="1" applyFill="1" applyBorder="1" applyAlignment="1">
      <alignment horizontal="center" vertical="center"/>
    </xf>
    <xf numFmtId="6" fontId="45" fillId="9" borderId="42" xfId="0" applyNumberFormat="1" applyFont="1" applyFill="1" applyBorder="1" applyAlignment="1">
      <alignment horizontal="center" vertical="center"/>
    </xf>
    <xf numFmtId="0" fontId="19" fillId="4" borderId="2" xfId="0" applyFont="1" applyFill="1" applyBorder="1" applyAlignment="1">
      <alignment horizontal="center" vertical="center"/>
    </xf>
    <xf numFmtId="0" fontId="19" fillId="4" borderId="11" xfId="0" applyFont="1" applyFill="1" applyBorder="1" applyAlignment="1">
      <alignment horizontal="center" vertical="center"/>
    </xf>
    <xf numFmtId="170" fontId="19" fillId="4" borderId="18" xfId="0" applyNumberFormat="1" applyFont="1" applyFill="1" applyBorder="1" applyAlignment="1">
      <alignment horizontal="center" vertical="center"/>
    </xf>
    <xf numFmtId="170" fontId="19" fillId="4" borderId="11" xfId="0" applyNumberFormat="1" applyFont="1" applyFill="1" applyBorder="1" applyAlignment="1">
      <alignment horizontal="center" vertical="center"/>
    </xf>
    <xf numFmtId="169" fontId="19" fillId="4" borderId="22" xfId="0" applyNumberFormat="1" applyFont="1" applyFill="1" applyBorder="1" applyAlignment="1">
      <alignment horizontal="center" vertical="center"/>
    </xf>
    <xf numFmtId="169" fontId="19" fillId="4" borderId="35" xfId="0" applyNumberFormat="1" applyFont="1" applyFill="1" applyBorder="1" applyAlignment="1">
      <alignment horizontal="center" vertical="center"/>
    </xf>
    <xf numFmtId="169" fontId="19" fillId="4" borderId="33" xfId="0" applyNumberFormat="1" applyFont="1" applyFill="1" applyBorder="1" applyAlignment="1">
      <alignment horizontal="center" vertical="center"/>
    </xf>
    <xf numFmtId="169" fontId="19" fillId="4" borderId="12" xfId="0" applyNumberFormat="1" applyFont="1" applyFill="1" applyBorder="1" applyAlignment="1">
      <alignment horizontal="center" vertical="center"/>
    </xf>
    <xf numFmtId="169" fontId="19" fillId="4" borderId="21" xfId="0" applyNumberFormat="1" applyFont="1" applyFill="1" applyBorder="1" applyAlignment="1">
      <alignment horizontal="center" vertical="center"/>
    </xf>
    <xf numFmtId="169" fontId="19" fillId="4" borderId="7" xfId="0" applyNumberFormat="1" applyFont="1" applyFill="1" applyBorder="1" applyAlignment="1">
      <alignment horizontal="center" vertical="center"/>
    </xf>
    <xf numFmtId="169" fontId="19" fillId="4" borderId="3" xfId="0" applyNumberFormat="1" applyFont="1" applyFill="1" applyBorder="1" applyAlignment="1">
      <alignment horizontal="center" vertical="center"/>
    </xf>
    <xf numFmtId="169" fontId="19" fillId="4" borderId="0" xfId="0" applyNumberFormat="1" applyFont="1" applyFill="1" applyBorder="1" applyAlignment="1">
      <alignment horizontal="center" vertical="center"/>
    </xf>
    <xf numFmtId="169" fontId="19" fillId="4" borderId="1" xfId="0" applyNumberFormat="1" applyFont="1" applyFill="1" applyBorder="1" applyAlignment="1">
      <alignment horizontal="center" vertical="center"/>
    </xf>
    <xf numFmtId="169" fontId="19" fillId="4" borderId="17" xfId="0" applyNumberFormat="1" applyFont="1" applyFill="1" applyBorder="1" applyAlignment="1">
      <alignment horizontal="center" vertical="center"/>
    </xf>
    <xf numFmtId="169" fontId="19" fillId="4" borderId="13" xfId="0" applyNumberFormat="1" applyFont="1" applyFill="1" applyBorder="1" applyAlignment="1">
      <alignment horizontal="center" vertical="center"/>
    </xf>
    <xf numFmtId="170" fontId="19" fillId="4" borderId="22" xfId="0" applyNumberFormat="1" applyFont="1" applyFill="1" applyBorder="1" applyAlignment="1">
      <alignment horizontal="center" vertical="center"/>
    </xf>
    <xf numFmtId="170" fontId="19" fillId="4" borderId="35" xfId="0" applyNumberFormat="1" applyFont="1" applyFill="1" applyBorder="1" applyAlignment="1">
      <alignment horizontal="center" vertical="center"/>
    </xf>
    <xf numFmtId="170" fontId="19" fillId="4" borderId="13" xfId="0" applyNumberFormat="1" applyFont="1" applyFill="1" applyBorder="1" applyAlignment="1">
      <alignment horizontal="center" vertical="center"/>
    </xf>
    <xf numFmtId="0" fontId="34" fillId="16" borderId="123" xfId="0" applyFont="1" applyFill="1" applyBorder="1" applyAlignment="1">
      <alignment horizontal="center" vertical="center" textRotation="90"/>
    </xf>
    <xf numFmtId="0" fontId="45" fillId="9" borderId="96" xfId="0" applyFont="1" applyFill="1" applyBorder="1" applyAlignment="1">
      <alignment horizontal="center" vertical="center"/>
    </xf>
    <xf numFmtId="0" fontId="34" fillId="4" borderId="0" xfId="0" applyFont="1" applyFill="1" applyAlignment="1">
      <alignment horizontal="left" wrapText="1"/>
    </xf>
    <xf numFmtId="170" fontId="19" fillId="4" borderId="6" xfId="0" applyNumberFormat="1" applyFont="1" applyFill="1" applyBorder="1" applyAlignment="1">
      <alignment horizontal="center" vertical="center"/>
    </xf>
    <xf numFmtId="170" fontId="19" fillId="4" borderId="7" xfId="0" applyNumberFormat="1" applyFont="1" applyFill="1" applyBorder="1" applyAlignment="1">
      <alignment horizontal="center" vertical="center"/>
    </xf>
    <xf numFmtId="0" fontId="45" fillId="9" borderId="49" xfId="0" applyFont="1" applyFill="1" applyBorder="1" applyAlignment="1">
      <alignment horizontal="left" vertical="center" indent="1"/>
    </xf>
    <xf numFmtId="0" fontId="45" fillId="9" borderId="93" xfId="0" applyFont="1" applyFill="1" applyBorder="1" applyAlignment="1">
      <alignment horizontal="center" vertical="center" wrapText="1"/>
    </xf>
    <xf numFmtId="0" fontId="45" fillId="9" borderId="49" xfId="0" applyFont="1" applyFill="1" applyBorder="1" applyAlignment="1">
      <alignment horizontal="center" vertical="center" wrapText="1"/>
    </xf>
    <xf numFmtId="169" fontId="19" fillId="4" borderId="6" xfId="0" applyNumberFormat="1" applyFont="1" applyFill="1" applyBorder="1" applyAlignment="1">
      <alignment horizontal="center" vertical="center"/>
    </xf>
    <xf numFmtId="0" fontId="45" fillId="9" borderId="94" xfId="0" applyFont="1" applyFill="1" applyBorder="1" applyAlignment="1">
      <alignment horizontal="center" vertical="center"/>
    </xf>
    <xf numFmtId="6" fontId="45" fillId="9" borderId="96" xfId="0" applyNumberFormat="1" applyFont="1" applyFill="1" applyBorder="1" applyAlignment="1">
      <alignment horizontal="center" vertical="center"/>
    </xf>
    <xf numFmtId="6" fontId="45" fillId="9" borderId="0" xfId="0" applyNumberFormat="1" applyFont="1" applyFill="1" applyBorder="1" applyAlignment="1">
      <alignment horizontal="center" vertical="center"/>
    </xf>
    <xf numFmtId="169" fontId="19" fillId="4" borderId="124" xfId="0" applyNumberFormat="1" applyFont="1" applyFill="1" applyBorder="1" applyAlignment="1">
      <alignment horizontal="center" vertical="center"/>
    </xf>
    <xf numFmtId="169" fontId="19" fillId="4" borderId="125" xfId="0" applyNumberFormat="1" applyFont="1" applyFill="1" applyBorder="1" applyAlignment="1">
      <alignment horizontal="center" vertical="center"/>
    </xf>
    <xf numFmtId="6" fontId="19" fillId="4" borderId="17" xfId="0" applyNumberFormat="1" applyFont="1" applyFill="1" applyBorder="1" applyAlignment="1">
      <alignment horizontal="center" vertical="center"/>
    </xf>
    <xf numFmtId="6" fontId="19" fillId="4" borderId="33" xfId="0" applyNumberFormat="1" applyFont="1" applyFill="1" applyBorder="1" applyAlignment="1">
      <alignment horizontal="center" vertical="center"/>
    </xf>
    <xf numFmtId="0" fontId="34" fillId="4" borderId="0" xfId="0" applyFont="1" applyFill="1" applyBorder="1" applyAlignment="1">
      <alignment horizontal="left" vertical="center" wrapText="1" indent="1"/>
    </xf>
    <xf numFmtId="169" fontId="34" fillId="13" borderId="66" xfId="0" applyNumberFormat="1" applyFont="1" applyFill="1" applyBorder="1" applyAlignment="1">
      <alignment horizontal="center" vertical="center"/>
    </xf>
    <xf numFmtId="169" fontId="34" fillId="13" borderId="105" xfId="0" applyNumberFormat="1" applyFont="1" applyFill="1" applyBorder="1" applyAlignment="1">
      <alignment horizontal="center" vertical="center"/>
    </xf>
    <xf numFmtId="0" fontId="45" fillId="9" borderId="65" xfId="0" applyFont="1" applyFill="1" applyBorder="1" applyAlignment="1">
      <alignment horizontal="center" vertical="center" wrapText="1"/>
    </xf>
    <xf numFmtId="0" fontId="34" fillId="4" borderId="2" xfId="7" applyFont="1" applyFill="1" applyBorder="1" applyAlignment="1">
      <alignment horizontal="left" vertical="center" wrapText="1" indent="1"/>
    </xf>
    <xf numFmtId="0" fontId="34" fillId="4" borderId="11" xfId="7" applyFont="1" applyFill="1" applyBorder="1" applyAlignment="1">
      <alignment horizontal="left" vertical="center" wrapText="1" indent="1"/>
    </xf>
    <xf numFmtId="49" fontId="19" fillId="4" borderId="34" xfId="0" applyNumberFormat="1" applyFont="1" applyFill="1" applyBorder="1" applyAlignment="1">
      <alignment horizontal="center" vertical="center"/>
    </xf>
    <xf numFmtId="49" fontId="19" fillId="4" borderId="31" xfId="0" applyNumberFormat="1" applyFont="1" applyFill="1" applyBorder="1" applyAlignment="1">
      <alignment horizontal="center" vertical="center"/>
    </xf>
    <xf numFmtId="49" fontId="19" fillId="4" borderId="25" xfId="0" applyNumberFormat="1" applyFont="1" applyFill="1" applyBorder="1" applyAlignment="1">
      <alignment horizontal="center" vertical="center"/>
    </xf>
    <xf numFmtId="0" fontId="45" fillId="9" borderId="102" xfId="0" applyFont="1" applyFill="1" applyBorder="1" applyAlignment="1">
      <alignment horizontal="center" vertical="center" wrapText="1"/>
    </xf>
    <xf numFmtId="0" fontId="34" fillId="4" borderId="31" xfId="0" applyFont="1" applyFill="1" applyBorder="1" applyAlignment="1">
      <alignment horizontal="left" vertical="center" wrapText="1" indent="1"/>
    </xf>
    <xf numFmtId="0" fontId="34" fillId="4" borderId="25" xfId="0" applyFont="1" applyFill="1" applyBorder="1" applyAlignment="1">
      <alignment horizontal="left" vertical="center" wrapText="1" indent="1"/>
    </xf>
    <xf numFmtId="0" fontId="34" fillId="16" borderId="1" xfId="0" applyFont="1" applyFill="1" applyBorder="1" applyAlignment="1">
      <alignment horizontal="center" textRotation="90"/>
    </xf>
    <xf numFmtId="0" fontId="34" fillId="16" borderId="123" xfId="0" applyFont="1" applyFill="1" applyBorder="1" applyAlignment="1">
      <alignment horizontal="center" textRotation="90"/>
    </xf>
    <xf numFmtId="0" fontId="34" fillId="16" borderId="0" xfId="0" applyFont="1" applyFill="1" applyBorder="1" applyAlignment="1">
      <alignment horizontal="center" vertical="center" textRotation="90"/>
    </xf>
    <xf numFmtId="0" fontId="7" fillId="4" borderId="0" xfId="0" applyFont="1" applyFill="1" applyBorder="1" applyAlignment="1">
      <alignment horizontal="center" vertical="center"/>
    </xf>
    <xf numFmtId="0" fontId="52" fillId="9" borderId="96" xfId="0" applyFont="1" applyFill="1" applyBorder="1" applyAlignment="1">
      <alignment horizontal="center" vertical="center" wrapText="1"/>
    </xf>
    <xf numFmtId="0" fontId="52" fillId="9" borderId="42" xfId="0" applyFont="1" applyFill="1" applyBorder="1" applyAlignment="1">
      <alignment horizontal="center" vertical="center" wrapText="1"/>
    </xf>
    <xf numFmtId="0" fontId="62" fillId="9" borderId="96" xfId="0" applyFont="1" applyFill="1" applyBorder="1" applyAlignment="1">
      <alignment horizontal="center" vertical="center"/>
    </xf>
    <xf numFmtId="0" fontId="62" fillId="9" borderId="42" xfId="0" applyFont="1" applyFill="1" applyBorder="1" applyAlignment="1">
      <alignment horizontal="center" vertical="center"/>
    </xf>
    <xf numFmtId="0" fontId="45" fillId="9" borderId="63" xfId="0" applyFont="1" applyFill="1" applyBorder="1" applyAlignment="1">
      <alignment horizontal="center" vertical="center"/>
    </xf>
    <xf numFmtId="0" fontId="58" fillId="9" borderId="96" xfId="0" applyFont="1" applyFill="1" applyBorder="1" applyAlignment="1">
      <alignment horizontal="center" vertical="center" wrapText="1"/>
    </xf>
    <xf numFmtId="0" fontId="58" fillId="9" borderId="42" xfId="0" applyFont="1" applyFill="1" applyBorder="1" applyAlignment="1">
      <alignment horizontal="center" vertical="center" wrapText="1"/>
    </xf>
    <xf numFmtId="169" fontId="34" fillId="4" borderId="3" xfId="0" applyNumberFormat="1" applyFont="1" applyFill="1" applyBorder="1" applyAlignment="1">
      <alignment horizontal="center" vertical="center"/>
    </xf>
    <xf numFmtId="169" fontId="34" fillId="4" borderId="40" xfId="0" applyNumberFormat="1" applyFont="1" applyFill="1" applyBorder="1" applyAlignment="1">
      <alignment horizontal="center" vertical="center"/>
    </xf>
    <xf numFmtId="0" fontId="45" fillId="9" borderId="49" xfId="0" applyFont="1" applyFill="1" applyBorder="1" applyAlignment="1">
      <alignment horizontal="center" vertical="center"/>
    </xf>
    <xf numFmtId="0" fontId="45" fillId="9" borderId="106" xfId="0" applyFont="1" applyFill="1" applyBorder="1" applyAlignment="1">
      <alignment horizontal="center" vertical="center"/>
    </xf>
    <xf numFmtId="0" fontId="45" fillId="9" borderId="66" xfId="0" applyFont="1" applyFill="1" applyBorder="1" applyAlignment="1">
      <alignment horizontal="center" vertical="center"/>
    </xf>
    <xf numFmtId="0" fontId="58" fillId="9" borderId="0" xfId="0" applyFont="1" applyFill="1" applyBorder="1" applyAlignment="1">
      <alignment horizontal="center" vertical="center" wrapText="1"/>
    </xf>
    <xf numFmtId="0" fontId="58" fillId="9" borderId="65" xfId="0" applyFont="1" applyFill="1" applyBorder="1" applyAlignment="1">
      <alignment horizontal="center" vertical="center" wrapText="1"/>
    </xf>
    <xf numFmtId="169" fontId="34" fillId="13" borderId="0" xfId="0" applyNumberFormat="1" applyFont="1" applyFill="1" applyBorder="1" applyAlignment="1">
      <alignment horizontal="center" vertical="center"/>
    </xf>
    <xf numFmtId="169" fontId="34" fillId="13" borderId="1" xfId="0" applyNumberFormat="1" applyFont="1" applyFill="1" applyBorder="1" applyAlignment="1">
      <alignment horizontal="center" vertical="center"/>
    </xf>
    <xf numFmtId="0" fontId="45" fillId="9" borderId="98"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96" xfId="0" applyFont="1" applyFill="1" applyBorder="1" applyAlignment="1">
      <alignment horizontal="center" vertical="center" wrapText="1"/>
    </xf>
    <xf numFmtId="2" fontId="45" fillId="9" borderId="99" xfId="0" applyNumberFormat="1" applyFont="1" applyFill="1" applyBorder="1" applyAlignment="1">
      <alignment horizontal="center" vertical="center" wrapText="1"/>
    </xf>
    <xf numFmtId="2" fontId="45" fillId="9" borderId="70" xfId="0" applyNumberFormat="1" applyFont="1" applyFill="1" applyBorder="1" applyAlignment="1">
      <alignment horizontal="center" vertical="center" wrapText="1"/>
    </xf>
    <xf numFmtId="2" fontId="45" fillId="9" borderId="100" xfId="0" applyNumberFormat="1" applyFont="1" applyFill="1" applyBorder="1" applyAlignment="1">
      <alignment horizontal="center" vertical="center" wrapText="1"/>
    </xf>
    <xf numFmtId="169" fontId="34" fillId="13" borderId="65" xfId="0" applyNumberFormat="1" applyFont="1" applyFill="1" applyBorder="1" applyAlignment="1">
      <alignment horizontal="center" vertical="center"/>
    </xf>
    <xf numFmtId="169" fontId="34" fillId="13" borderId="2" xfId="0" applyNumberFormat="1" applyFont="1" applyFill="1" applyBorder="1" applyAlignment="1">
      <alignment horizontal="center" vertical="center"/>
    </xf>
    <xf numFmtId="169" fontId="34" fillId="13" borderId="101" xfId="0" applyNumberFormat="1" applyFont="1" applyFill="1" applyBorder="1" applyAlignment="1">
      <alignment horizontal="center" vertical="center"/>
    </xf>
    <xf numFmtId="0" fontId="58" fillId="9" borderId="102" xfId="0" applyFont="1" applyFill="1" applyBorder="1" applyAlignment="1">
      <alignment horizontal="center" vertical="center" wrapText="1"/>
    </xf>
    <xf numFmtId="0" fontId="45" fillId="9" borderId="103" xfId="0" applyFont="1" applyFill="1" applyBorder="1" applyAlignment="1">
      <alignment horizontal="center" vertical="center" wrapText="1"/>
    </xf>
    <xf numFmtId="0" fontId="45" fillId="9" borderId="104" xfId="0" applyFont="1" applyFill="1" applyBorder="1" applyAlignment="1">
      <alignment horizontal="center" vertical="center"/>
    </xf>
    <xf numFmtId="0" fontId="45" fillId="9" borderId="70" xfId="0" applyFont="1" applyFill="1" applyBorder="1" applyAlignment="1">
      <alignment horizontal="center" vertical="center"/>
    </xf>
    <xf numFmtId="0" fontId="34" fillId="16" borderId="65" xfId="0" applyFont="1" applyFill="1" applyBorder="1" applyAlignment="1">
      <alignment horizontal="center" vertical="center" textRotation="90"/>
    </xf>
    <xf numFmtId="0" fontId="34" fillId="4" borderId="66" xfId="0" applyFont="1" applyFill="1" applyBorder="1" applyAlignment="1">
      <alignment horizontal="left" vertical="center" wrapText="1" indent="1"/>
    </xf>
    <xf numFmtId="169" fontId="34" fillId="4" borderId="41" xfId="0" applyNumberFormat="1" applyFont="1" applyFill="1" applyBorder="1" applyAlignment="1">
      <alignment horizontal="center" vertical="center"/>
    </xf>
    <xf numFmtId="169" fontId="34" fillId="13" borderId="11" xfId="0" applyNumberFormat="1" applyFont="1" applyFill="1" applyBorder="1" applyAlignment="1">
      <alignment horizontal="center" vertical="center"/>
    </xf>
    <xf numFmtId="169" fontId="34" fillId="13" borderId="67" xfId="0" applyNumberFormat="1" applyFont="1" applyFill="1" applyBorder="1" applyAlignment="1">
      <alignment horizontal="center" vertical="center"/>
    </xf>
    <xf numFmtId="169" fontId="34" fillId="4" borderId="107" xfId="0" applyNumberFormat="1" applyFont="1" applyFill="1" applyBorder="1" applyAlignment="1">
      <alignment horizontal="center" vertical="center"/>
    </xf>
    <xf numFmtId="169" fontId="34" fillId="4" borderId="108" xfId="0" applyNumberFormat="1" applyFont="1" applyFill="1" applyBorder="1" applyAlignment="1">
      <alignment horizontal="center" vertical="center"/>
    </xf>
    <xf numFmtId="169" fontId="19" fillId="4" borderId="2" xfId="0" applyNumberFormat="1" applyFont="1" applyFill="1" applyBorder="1" applyAlignment="1">
      <alignment horizontal="center" vertical="center"/>
    </xf>
    <xf numFmtId="169" fontId="19" fillId="4" borderId="11" xfId="0" applyNumberFormat="1" applyFont="1" applyFill="1" applyBorder="1" applyAlignment="1">
      <alignment horizontal="center" vertical="center"/>
    </xf>
    <xf numFmtId="170" fontId="19" fillId="4" borderId="17" xfId="0" applyNumberFormat="1" applyFont="1" applyFill="1" applyBorder="1" applyAlignment="1">
      <alignment horizontal="center" vertical="center"/>
    </xf>
    <xf numFmtId="170" fontId="19" fillId="4" borderId="12" xfId="0" applyNumberFormat="1" applyFont="1" applyFill="1" applyBorder="1" applyAlignment="1">
      <alignment horizontal="center" vertical="center"/>
    </xf>
    <xf numFmtId="0" fontId="45" fillId="9" borderId="95" xfId="0" applyFont="1" applyFill="1" applyBorder="1" applyAlignment="1">
      <alignment horizontal="center" vertical="center"/>
    </xf>
    <xf numFmtId="0" fontId="19" fillId="4" borderId="22" xfId="0" applyFont="1" applyFill="1" applyBorder="1" applyAlignment="1">
      <alignment horizontal="left" vertical="center" wrapText="1" indent="1"/>
    </xf>
    <xf numFmtId="0" fontId="19" fillId="4" borderId="13" xfId="0" applyFont="1" applyFill="1" applyBorder="1" applyAlignment="1">
      <alignment horizontal="left" vertical="center" wrapText="1" indent="1"/>
    </xf>
    <xf numFmtId="0" fontId="19" fillId="4" borderId="0" xfId="0" applyFont="1" applyFill="1" applyBorder="1" applyAlignment="1">
      <alignment horizontal="center" vertical="center"/>
    </xf>
    <xf numFmtId="0" fontId="19" fillId="4" borderId="1" xfId="0" applyFont="1" applyFill="1" applyBorder="1" applyAlignment="1">
      <alignment horizontal="center" vertical="center"/>
    </xf>
    <xf numFmtId="6" fontId="52" fillId="9" borderId="96" xfId="0" applyNumberFormat="1" applyFont="1" applyFill="1" applyBorder="1" applyAlignment="1">
      <alignment horizontal="center" vertical="center"/>
    </xf>
    <xf numFmtId="6" fontId="52" fillId="9" borderId="0" xfId="0" applyNumberFormat="1" applyFont="1" applyFill="1" applyBorder="1" applyAlignment="1">
      <alignment horizontal="center" vertical="center"/>
    </xf>
    <xf numFmtId="6" fontId="52" fillId="9" borderId="42" xfId="0" applyNumberFormat="1" applyFont="1" applyFill="1" applyBorder="1" applyAlignment="1">
      <alignment horizontal="center" vertical="center"/>
    </xf>
    <xf numFmtId="170" fontId="19" fillId="4" borderId="3" xfId="0" applyNumberFormat="1" applyFont="1" applyFill="1" applyBorder="1" applyAlignment="1">
      <alignment horizontal="center" vertical="center"/>
    </xf>
    <xf numFmtId="170" fontId="19" fillId="4" borderId="0" xfId="0" applyNumberFormat="1" applyFont="1" applyFill="1" applyBorder="1" applyAlignment="1">
      <alignment horizontal="center" vertical="center"/>
    </xf>
    <xf numFmtId="170" fontId="19" fillId="4" borderId="1" xfId="0" applyNumberFormat="1" applyFont="1" applyFill="1" applyBorder="1" applyAlignment="1">
      <alignment horizontal="center" vertical="center"/>
    </xf>
    <xf numFmtId="170" fontId="19" fillId="4" borderId="33" xfId="0" applyNumberFormat="1" applyFont="1" applyFill="1" applyBorder="1" applyAlignment="1">
      <alignment horizontal="center" vertical="center"/>
    </xf>
    <xf numFmtId="6" fontId="19" fillId="4" borderId="6" xfId="0" applyNumberFormat="1" applyFont="1" applyFill="1" applyBorder="1" applyAlignment="1">
      <alignment horizontal="center" vertical="center"/>
    </xf>
    <xf numFmtId="6" fontId="19" fillId="4" borderId="21" xfId="0" applyNumberFormat="1" applyFont="1" applyFill="1" applyBorder="1" applyAlignment="1">
      <alignment horizontal="center" vertical="center"/>
    </xf>
    <xf numFmtId="6" fontId="19" fillId="4" borderId="22" xfId="0" applyNumberFormat="1" applyFont="1" applyFill="1" applyBorder="1" applyAlignment="1">
      <alignment horizontal="center" vertical="center"/>
    </xf>
    <xf numFmtId="6" fontId="19" fillId="4" borderId="35" xfId="0" applyNumberFormat="1" applyFont="1" applyFill="1" applyBorder="1" applyAlignment="1">
      <alignment horizontal="center" vertical="center"/>
    </xf>
    <xf numFmtId="169" fontId="23" fillId="4" borderId="33" xfId="0" applyNumberFormat="1" applyFont="1" applyFill="1" applyBorder="1" applyAlignment="1">
      <alignment horizontal="center" vertical="center"/>
    </xf>
    <xf numFmtId="169" fontId="23" fillId="4" borderId="12" xfId="0" applyNumberFormat="1" applyFont="1" applyFill="1" applyBorder="1" applyAlignment="1">
      <alignment horizontal="center" vertical="center"/>
    </xf>
    <xf numFmtId="0" fontId="45" fillId="15" borderId="2" xfId="0" applyFont="1" applyFill="1" applyBorder="1" applyAlignment="1">
      <alignment horizontal="left" vertical="center" indent="1"/>
    </xf>
    <xf numFmtId="0" fontId="45" fillId="15" borderId="0" xfId="0" applyFont="1" applyFill="1" applyBorder="1" applyAlignment="1">
      <alignment horizontal="left" vertical="center" indent="1"/>
    </xf>
    <xf numFmtId="0" fontId="45" fillId="15" borderId="109" xfId="0" applyFont="1" applyFill="1" applyBorder="1" applyAlignment="1">
      <alignment horizontal="left" vertical="center" indent="1"/>
    </xf>
    <xf numFmtId="0" fontId="45" fillId="15" borderId="1" xfId="0" applyFont="1" applyFill="1" applyBorder="1" applyAlignment="1">
      <alignment horizontal="center" vertical="center"/>
    </xf>
    <xf numFmtId="0" fontId="45" fillId="15" borderId="110" xfId="0" applyFont="1" applyFill="1" applyBorder="1" applyAlignment="1">
      <alignment horizontal="center" vertical="center"/>
    </xf>
    <xf numFmtId="49" fontId="19" fillId="4" borderId="8" xfId="0" applyNumberFormat="1" applyFont="1" applyFill="1" applyBorder="1" applyAlignment="1">
      <alignment horizontal="center" vertical="center"/>
    </xf>
    <xf numFmtId="49" fontId="19" fillId="4" borderId="9" xfId="0" applyNumberFormat="1" applyFont="1" applyFill="1" applyBorder="1" applyAlignment="1">
      <alignment horizontal="center" vertical="center"/>
    </xf>
    <xf numFmtId="49" fontId="19" fillId="4" borderId="5" xfId="0" applyNumberFormat="1" applyFont="1" applyFill="1" applyBorder="1" applyAlignment="1">
      <alignment horizontal="center" vertical="center"/>
    </xf>
    <xf numFmtId="0" fontId="45" fillId="15" borderId="0" xfId="8" applyFont="1" applyFill="1" applyBorder="1" applyAlignment="1">
      <alignment horizontal="center" vertical="center" wrapText="1"/>
    </xf>
    <xf numFmtId="0" fontId="45" fillId="15" borderId="42" xfId="8" applyFont="1" applyFill="1" applyBorder="1" applyAlignment="1">
      <alignment horizontal="center" vertical="center" wrapText="1"/>
    </xf>
    <xf numFmtId="169" fontId="19" fillId="4" borderId="34" xfId="31" applyNumberFormat="1" applyFont="1" applyFill="1" applyBorder="1" applyAlignment="1">
      <alignment horizontal="center" vertical="center"/>
    </xf>
    <xf numFmtId="169" fontId="19" fillId="4" borderId="31" xfId="31" applyNumberFormat="1" applyFont="1" applyFill="1" applyBorder="1" applyAlignment="1">
      <alignment horizontal="center" vertical="center"/>
    </xf>
    <xf numFmtId="169" fontId="19" fillId="4" borderId="25" xfId="31" applyNumberFormat="1" applyFont="1" applyFill="1" applyBorder="1" applyAlignment="1">
      <alignment horizontal="center" vertical="center"/>
    </xf>
    <xf numFmtId="0" fontId="45" fillId="15" borderId="111" xfId="0" applyFont="1" applyFill="1" applyBorder="1" applyAlignment="1">
      <alignment horizontal="center" vertical="center"/>
    </xf>
    <xf numFmtId="0" fontId="45" fillId="15" borderId="42" xfId="0" applyFont="1" applyFill="1" applyBorder="1" applyAlignment="1">
      <alignment horizontal="center" vertical="center"/>
    </xf>
    <xf numFmtId="0" fontId="45" fillId="15" borderId="112" xfId="0" applyFont="1" applyFill="1" applyBorder="1" applyAlignment="1">
      <alignment horizontal="center" vertical="center"/>
    </xf>
    <xf numFmtId="0" fontId="45" fillId="15" borderId="96" xfId="0" applyFont="1" applyFill="1" applyBorder="1" applyAlignment="1">
      <alignment horizontal="center" vertical="center" wrapText="1"/>
    </xf>
    <xf numFmtId="0" fontId="45" fillId="15" borderId="0" xfId="0" applyFont="1" applyFill="1" applyBorder="1" applyAlignment="1">
      <alignment horizontal="center" vertical="center" wrapText="1"/>
    </xf>
    <xf numFmtId="165" fontId="19" fillId="4" borderId="81" xfId="0" applyNumberFormat="1" applyFont="1" applyFill="1" applyBorder="1" applyAlignment="1">
      <alignment horizontal="center" vertical="center"/>
    </xf>
    <xf numFmtId="165" fontId="19" fillId="4" borderId="16" xfId="0" applyNumberFormat="1" applyFont="1" applyFill="1" applyBorder="1" applyAlignment="1">
      <alignment horizontal="center" vertical="center"/>
    </xf>
    <xf numFmtId="165" fontId="19" fillId="4" borderId="10" xfId="0" applyNumberFormat="1" applyFont="1" applyFill="1" applyBorder="1" applyAlignment="1">
      <alignment horizontal="center" vertical="center"/>
    </xf>
    <xf numFmtId="49" fontId="34" fillId="4" borderId="34" xfId="0" applyNumberFormat="1" applyFont="1" applyFill="1" applyBorder="1" applyAlignment="1">
      <alignment horizontal="center" vertical="center"/>
    </xf>
    <xf numFmtId="49" fontId="34" fillId="4" borderId="31" xfId="0" applyNumberFormat="1" applyFont="1" applyFill="1" applyBorder="1" applyAlignment="1">
      <alignment horizontal="center" vertical="center"/>
    </xf>
    <xf numFmtId="49" fontId="34" fillId="4" borderId="113" xfId="0" applyNumberFormat="1" applyFont="1" applyFill="1" applyBorder="1" applyAlignment="1">
      <alignment horizontal="center" vertical="center"/>
    </xf>
    <xf numFmtId="0" fontId="63" fillId="9" borderId="96" xfId="0" applyFont="1" applyFill="1" applyBorder="1" applyAlignment="1">
      <alignment horizontal="center" vertical="center"/>
    </xf>
    <xf numFmtId="0" fontId="63" fillId="9" borderId="42" xfId="0" applyFont="1" applyFill="1" applyBorder="1" applyAlignment="1">
      <alignment horizontal="center" vertical="center"/>
    </xf>
    <xf numFmtId="0" fontId="63" fillId="9" borderId="97" xfId="0" applyFont="1" applyFill="1" applyBorder="1" applyAlignment="1">
      <alignment horizontal="center" vertical="center"/>
    </xf>
    <xf numFmtId="0" fontId="63" fillId="9" borderId="57" xfId="0" applyFont="1" applyFill="1" applyBorder="1" applyAlignment="1">
      <alignment horizontal="center" vertical="center"/>
    </xf>
    <xf numFmtId="0" fontId="45" fillId="15" borderId="42" xfId="0" applyFont="1" applyFill="1" applyBorder="1" applyAlignment="1">
      <alignment horizontal="center" vertical="center" wrapText="1"/>
    </xf>
    <xf numFmtId="0" fontId="45" fillId="15" borderId="114" xfId="0" applyFont="1" applyFill="1" applyBorder="1" applyAlignment="1">
      <alignment horizontal="center" vertical="center" wrapText="1"/>
    </xf>
    <xf numFmtId="49" fontId="19" fillId="4" borderId="18" xfId="0" applyNumberFormat="1" applyFont="1" applyFill="1" applyBorder="1" applyAlignment="1">
      <alignment horizontal="center" vertical="center"/>
    </xf>
    <xf numFmtId="49" fontId="19" fillId="4" borderId="2" xfId="0" applyNumberFormat="1" applyFont="1" applyFill="1" applyBorder="1" applyAlignment="1">
      <alignment horizontal="center" vertical="center"/>
    </xf>
    <xf numFmtId="49" fontId="19" fillId="4" borderId="55" xfId="0" applyNumberFormat="1" applyFont="1" applyFill="1" applyBorder="1" applyAlignment="1">
      <alignment horizontal="center" vertical="center"/>
    </xf>
    <xf numFmtId="0" fontId="45" fillId="9" borderId="115" xfId="0" applyFont="1" applyFill="1" applyBorder="1" applyAlignment="1">
      <alignment horizontal="center" vertical="center"/>
    </xf>
    <xf numFmtId="0" fontId="45" fillId="9" borderId="72" xfId="0" applyFont="1" applyFill="1" applyBorder="1" applyAlignment="1">
      <alignment horizontal="center" vertical="center"/>
    </xf>
    <xf numFmtId="0" fontId="19" fillId="3" borderId="0" xfId="0" applyNumberFormat="1" applyFont="1" applyFill="1" applyAlignment="1">
      <alignment horizontal="left" vertical="center" wrapText="1"/>
    </xf>
    <xf numFmtId="0" fontId="19" fillId="0" borderId="34" xfId="0" applyFont="1" applyBorder="1" applyAlignment="1">
      <alignment horizontal="left" vertical="top" wrapText="1" indent="1"/>
    </xf>
    <xf numFmtId="0" fontId="19" fillId="0" borderId="25" xfId="0" applyFont="1" applyBorder="1" applyAlignment="1">
      <alignment horizontal="left" vertical="top" wrapText="1" indent="1"/>
    </xf>
    <xf numFmtId="0" fontId="56" fillId="9" borderId="43" xfId="0" applyFont="1" applyFill="1" applyBorder="1" applyAlignment="1">
      <alignment horizontal="center" vertical="center" wrapText="1"/>
    </xf>
    <xf numFmtId="0" fontId="56" fillId="9" borderId="57" xfId="0" applyFont="1" applyFill="1" applyBorder="1" applyAlignment="1">
      <alignment horizontal="center" vertical="center" wrapText="1"/>
    </xf>
    <xf numFmtId="0" fontId="19" fillId="0" borderId="34" xfId="0" applyFont="1" applyBorder="1" applyAlignment="1">
      <alignment horizontal="left" vertical="center" indent="1"/>
    </xf>
    <xf numFmtId="0" fontId="19" fillId="0" borderId="25" xfId="0" applyFont="1" applyBorder="1" applyAlignment="1">
      <alignment horizontal="left" vertical="center" indent="1"/>
    </xf>
    <xf numFmtId="0" fontId="19" fillId="0" borderId="116" xfId="0" applyFont="1" applyBorder="1" applyAlignment="1">
      <alignment horizontal="left" vertical="top" wrapText="1" indent="1"/>
    </xf>
    <xf numFmtId="0" fontId="19" fillId="0" borderId="117" xfId="0" applyFont="1" applyBorder="1" applyAlignment="1">
      <alignment horizontal="left" vertical="top" wrapText="1" indent="1"/>
    </xf>
    <xf numFmtId="0" fontId="19" fillId="0" borderId="38" xfId="0" applyFont="1" applyBorder="1" applyAlignment="1">
      <alignment horizontal="left" vertical="center" wrapText="1" indent="1"/>
    </xf>
    <xf numFmtId="0" fontId="19" fillId="0" borderId="39" xfId="0" applyFont="1" applyBorder="1" applyAlignment="1">
      <alignment horizontal="left" vertical="center" wrapText="1" indent="1"/>
    </xf>
    <xf numFmtId="0" fontId="19" fillId="0" borderId="116" xfId="0" applyFont="1" applyBorder="1" applyAlignment="1">
      <alignment horizontal="left" vertical="center" indent="1"/>
    </xf>
    <xf numFmtId="0" fontId="19" fillId="0" borderId="117" xfId="0" applyFont="1" applyBorder="1" applyAlignment="1">
      <alignment horizontal="left" vertical="center" indent="1"/>
    </xf>
    <xf numFmtId="0" fontId="19" fillId="0" borderId="34" xfId="0" applyFont="1" applyBorder="1" applyAlignment="1">
      <alignment horizontal="left" vertical="center" wrapText="1" indent="1"/>
    </xf>
    <xf numFmtId="0" fontId="19" fillId="0" borderId="25" xfId="0" applyFont="1" applyBorder="1" applyAlignment="1">
      <alignment horizontal="left" vertical="center" wrapText="1" indent="1"/>
    </xf>
    <xf numFmtId="0" fontId="56" fillId="9" borderId="0" xfId="0" applyFont="1" applyFill="1" applyBorder="1" applyAlignment="1">
      <alignment horizontal="center" vertical="center"/>
    </xf>
    <xf numFmtId="0" fontId="56" fillId="9" borderId="42" xfId="0" applyFont="1" applyFill="1" applyBorder="1" applyAlignment="1">
      <alignment horizontal="center" vertical="center"/>
    </xf>
    <xf numFmtId="0" fontId="34" fillId="4" borderId="9" xfId="0" applyFont="1" applyFill="1" applyBorder="1" applyAlignment="1">
      <alignment horizontal="left" vertical="center" indent="1"/>
    </xf>
    <xf numFmtId="0" fontId="45" fillId="9" borderId="63" xfId="0" applyFont="1" applyFill="1" applyBorder="1" applyAlignment="1">
      <alignment horizontal="left" vertical="center" indent="1"/>
    </xf>
    <xf numFmtId="0" fontId="34" fillId="4" borderId="8" xfId="0" applyFont="1" applyFill="1" applyBorder="1" applyAlignment="1">
      <alignment horizontal="left" vertical="center" indent="1"/>
    </xf>
    <xf numFmtId="0" fontId="34" fillId="4" borderId="4" xfId="0" applyFont="1" applyFill="1" applyBorder="1" applyAlignment="1">
      <alignment horizontal="left" vertical="center" indent="1"/>
    </xf>
    <xf numFmtId="0" fontId="3" fillId="4" borderId="0" xfId="0" applyNumberFormat="1" applyFont="1" applyFill="1" applyBorder="1" applyAlignment="1">
      <alignment horizontal="left" vertical="center" wrapText="1"/>
    </xf>
    <xf numFmtId="0" fontId="2" fillId="4" borderId="0" xfId="0" applyNumberFormat="1" applyFont="1" applyFill="1" applyBorder="1" applyAlignment="1">
      <alignment horizontal="left" vertical="center" wrapText="1"/>
    </xf>
    <xf numFmtId="0" fontId="34" fillId="4" borderId="38" xfId="0" applyFont="1" applyFill="1" applyBorder="1" applyAlignment="1">
      <alignment horizontal="left" vertical="center" indent="1"/>
    </xf>
    <xf numFmtId="0" fontId="34" fillId="4" borderId="39" xfId="0" applyFont="1" applyFill="1" applyBorder="1" applyAlignment="1">
      <alignment horizontal="left" vertical="center" indent="1"/>
    </xf>
    <xf numFmtId="0" fontId="34" fillId="4" borderId="14" xfId="0" applyFont="1" applyFill="1" applyBorder="1" applyAlignment="1">
      <alignment horizontal="left" vertical="center" indent="1"/>
    </xf>
    <xf numFmtId="0" fontId="34" fillId="4" borderId="0" xfId="0" applyFont="1" applyFill="1" applyAlignment="1"/>
    <xf numFmtId="0" fontId="29" fillId="3" borderId="0" xfId="0" applyFont="1" applyFill="1" applyAlignment="1">
      <alignment horizontal="center" vertical="center"/>
    </xf>
    <xf numFmtId="0" fontId="26" fillId="0" borderId="0" xfId="5" applyAlignment="1">
      <alignment horizontal="left" vertical="center"/>
    </xf>
    <xf numFmtId="0" fontId="0" fillId="0" borderId="0" xfId="0" applyAlignment="1">
      <alignment horizontal="left" vertical="center"/>
    </xf>
    <xf numFmtId="0" fontId="4" fillId="4" borderId="0" xfId="0" applyFont="1" applyFill="1" applyAlignment="1">
      <alignment horizontal="right" wrapText="1"/>
    </xf>
    <xf numFmtId="0" fontId="26" fillId="4" borderId="0" xfId="5" applyFill="1" applyAlignment="1" applyProtection="1">
      <alignment horizontal="left"/>
    </xf>
    <xf numFmtId="0" fontId="0" fillId="4" borderId="0" xfId="0" applyFill="1" applyAlignment="1">
      <alignment horizontal="left"/>
    </xf>
    <xf numFmtId="0" fontId="8" fillId="3" borderId="0" xfId="0" applyFont="1" applyFill="1" applyAlignment="1">
      <alignment horizontal="center" vertical="center" wrapText="1"/>
    </xf>
    <xf numFmtId="0" fontId="26" fillId="4" borderId="0" xfId="5" applyFill="1" applyAlignment="1" applyProtection="1">
      <alignment horizontal="left" vertical="top" wrapText="1"/>
    </xf>
    <xf numFmtId="0" fontId="8" fillId="4" borderId="0" xfId="0" applyFont="1" applyFill="1" applyAlignment="1">
      <alignment horizontal="left" vertical="top" wrapText="1"/>
    </xf>
  </cellXfs>
  <cellStyles count="39">
    <cellStyle name="Dziesiętny" xfId="1" builtinId="3"/>
    <cellStyle name="Dziesiętny 2" xfId="2"/>
    <cellStyle name="Dziesiętny 2 2" xfId="3"/>
    <cellStyle name="Dziesiętny 3" xfId="4"/>
    <cellStyle name="Hiperłącze" xfId="5" builtinId="8"/>
    <cellStyle name="Hiperłącze 2" xfId="6"/>
    <cellStyle name="Normalny" xfId="0" builtinId="0"/>
    <cellStyle name="Normalny 10" xfId="7"/>
    <cellStyle name="Normalny 10 2" xfId="8"/>
    <cellStyle name="Normalny 11" xfId="9"/>
    <cellStyle name="Normalny 12" xfId="10"/>
    <cellStyle name="Normalny 13" xfId="11"/>
    <cellStyle name="Normalny 2" xfId="12"/>
    <cellStyle name="Normalny 3" xfId="13"/>
    <cellStyle name="Normalny 3 2" xfId="14"/>
    <cellStyle name="Normalny 4" xfId="15"/>
    <cellStyle name="Normalny 4 2" xfId="16"/>
    <cellStyle name="Normalny 5" xfId="17"/>
    <cellStyle name="Normalny 5 2" xfId="18"/>
    <cellStyle name="Normalny 5 2 2" xfId="19"/>
    <cellStyle name="Normalny 5 3" xfId="20"/>
    <cellStyle name="Normalny 6" xfId="21"/>
    <cellStyle name="Normalny 6 2" xfId="22"/>
    <cellStyle name="Normalny 7" xfId="23"/>
    <cellStyle name="Normalny 7 2" xfId="24"/>
    <cellStyle name="Normalny 7 2 2" xfId="25"/>
    <cellStyle name="Normalny 7 3" xfId="26"/>
    <cellStyle name="Normalny 8" xfId="27"/>
    <cellStyle name="Normalny 8 2" xfId="28"/>
    <cellStyle name="Normalny 9" xfId="29"/>
    <cellStyle name="Normalny 9 2" xfId="30"/>
    <cellStyle name="Procentowy" xfId="31" builtinId="5"/>
    <cellStyle name="Procentowy 2" xfId="32"/>
    <cellStyle name="Procentowy 2 2" xfId="33"/>
    <cellStyle name="Procentowy 3" xfId="34"/>
    <cellStyle name="Walutowy" xfId="35" builtinId="4"/>
    <cellStyle name="Walutowy 2" xfId="36"/>
    <cellStyle name="Walutowy 2 2" xfId="37"/>
    <cellStyle name="Walutowy 3" xfId="38"/>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9" fmlaLink="$A$30" fmlaRange="$Z$7:$Z$8"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8.jpeg"/></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image" Target="../media/image7.png"/><Relationship Id="rId7" Type="http://schemas.openxmlformats.org/officeDocument/2006/relationships/image" Target="../media/image10.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 Id="rId9" Type="http://schemas.openxmlformats.org/officeDocument/2006/relationships/image" Target="../media/image1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png"/><Relationship Id="rId1" Type="http://schemas.openxmlformats.org/officeDocument/2006/relationships/image" Target="../media/image4.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3.png"/><Relationship Id="rId1" Type="http://schemas.openxmlformats.org/officeDocument/2006/relationships/image" Target="../media/image12.png"/><Relationship Id="rId4" Type="http://schemas.openxmlformats.org/officeDocument/2006/relationships/image" Target="../media/image14.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0.png"/><Relationship Id="rId1" Type="http://schemas.openxmlformats.org/officeDocument/2006/relationships/image" Target="../media/image15.png"/></Relationships>
</file>

<file path=xl/drawings/_rels/drawing8.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2.png"/><Relationship Id="rId1" Type="http://schemas.openxmlformats.org/officeDocument/2006/relationships/image" Target="../media/image16.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7.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1</xdr:col>
      <xdr:colOff>438150</xdr:colOff>
      <xdr:row>6</xdr:row>
      <xdr:rowOff>304800</xdr:rowOff>
    </xdr:to>
    <xdr:pic>
      <xdr:nvPicPr>
        <xdr:cNvPr id="1078208" name="Obraz 15" descr="http://a.wpimg.pl/a/i/stg/550/wpw.png">
          <a:extLst>
            <a:ext uri="{FF2B5EF4-FFF2-40B4-BE49-F238E27FC236}">
              <a16:creationId xmlns:a16="http://schemas.microsoft.com/office/drawing/2014/main" xmlns="" id="{00000000-0008-0000-0000-0000C073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981075"/>
          <a:ext cx="4286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xdr:row>
      <xdr:rowOff>9525</xdr:rowOff>
    </xdr:from>
    <xdr:to>
      <xdr:col>4</xdr:col>
      <xdr:colOff>0</xdr:colOff>
      <xdr:row>7</xdr:row>
      <xdr:rowOff>295275</xdr:rowOff>
    </xdr:to>
    <xdr:sp macro="" textlink="">
      <xdr:nvSpPr>
        <xdr:cNvPr id="1039372" name="Drop Down 12" hidden="1">
          <a:extLst>
            <a:ext uri="{63B3BB69-23CF-44E3-9099-C40C66FF867C}">
              <a14:compatExt xmlns:a14="http://schemas.microsoft.com/office/drawing/2010/main" spid="_x0000_s1039372"/>
            </a:ext>
            <a:ext uri="{FF2B5EF4-FFF2-40B4-BE49-F238E27FC236}">
              <a16:creationId xmlns:a16="http://schemas.microsoft.com/office/drawing/2014/main" xmlns="" id="{00000000-0008-0000-0000-00000CDC0F00}"/>
            </a:ext>
          </a:extLst>
        </xdr:cNvPr>
        <xdr:cNvSpPr/>
      </xdr:nvSpPr>
      <xdr:spPr>
        <a:xfrm>
          <a:off x="0" y="0"/>
          <a:ext cx="0" cy="0"/>
        </a:xfrm>
        <a:prstGeom prst="rect">
          <a:avLst/>
        </a:prstGeom>
      </xdr:spPr>
    </xdr:sp>
    <xdr:clientData/>
  </xdr:twoCellAnchor>
  <xdr:twoCellAnchor editAs="oneCell">
    <xdr:from>
      <xdr:col>7</xdr:col>
      <xdr:colOff>400050</xdr:colOff>
      <xdr:row>3</xdr:row>
      <xdr:rowOff>0</xdr:rowOff>
    </xdr:from>
    <xdr:to>
      <xdr:col>7</xdr:col>
      <xdr:colOff>666750</xdr:colOff>
      <xdr:row>4</xdr:row>
      <xdr:rowOff>0</xdr:rowOff>
    </xdr:to>
    <xdr:pic>
      <xdr:nvPicPr>
        <xdr:cNvPr id="1078209" name="Obraz 7" descr="Znalezione obrazy dla zapytania flaga pl wikipedia">
          <a:extLst>
            <a:ext uri="{FF2B5EF4-FFF2-40B4-BE49-F238E27FC236}">
              <a16:creationId xmlns:a16="http://schemas.microsoft.com/office/drawing/2014/main" xmlns="" id="{00000000-0008-0000-0000-0000C173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77375" y="48577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695325</xdr:colOff>
      <xdr:row>3</xdr:row>
      <xdr:rowOff>0</xdr:rowOff>
    </xdr:from>
    <xdr:to>
      <xdr:col>7</xdr:col>
      <xdr:colOff>1000125</xdr:colOff>
      <xdr:row>4</xdr:row>
      <xdr:rowOff>0</xdr:rowOff>
    </xdr:to>
    <xdr:pic>
      <xdr:nvPicPr>
        <xdr:cNvPr id="1078210" name="Obraz 8">
          <a:extLst>
            <a:ext uri="{FF2B5EF4-FFF2-40B4-BE49-F238E27FC236}">
              <a16:creationId xmlns:a16="http://schemas.microsoft.com/office/drawing/2014/main" xmlns="" id="{00000000-0008-0000-0000-0000C2731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72650" y="4857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444212</xdr:colOff>
      <xdr:row>5</xdr:row>
      <xdr:rowOff>58486</xdr:rowOff>
    </xdr:to>
    <xdr:pic>
      <xdr:nvPicPr>
        <xdr:cNvPr id="7" name="Picture 2">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7</xdr:row>
          <xdr:rowOff>9525</xdr:rowOff>
        </xdr:from>
        <xdr:to>
          <xdr:col>4</xdr:col>
          <xdr:colOff>0</xdr:colOff>
          <xdr:row>7</xdr:row>
          <xdr:rowOff>295275</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xdr:col>
      <xdr:colOff>723900</xdr:colOff>
      <xdr:row>7</xdr:row>
      <xdr:rowOff>28575</xdr:rowOff>
    </xdr:from>
    <xdr:to>
      <xdr:col>2</xdr:col>
      <xdr:colOff>1628775</xdr:colOff>
      <xdr:row>9</xdr:row>
      <xdr:rowOff>561975</xdr:rowOff>
    </xdr:to>
    <xdr:pic>
      <xdr:nvPicPr>
        <xdr:cNvPr id="1085460" name="Obraz 4">
          <a:extLst>
            <a:ext uri="{FF2B5EF4-FFF2-40B4-BE49-F238E27FC236}">
              <a16:creationId xmlns:a16="http://schemas.microsoft.com/office/drawing/2014/main" xmlns="" id="{00000000-0008-0000-0900-000014901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362075"/>
          <a:ext cx="904875"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350520</xdr:colOff>
      <xdr:row>7</xdr:row>
      <xdr:rowOff>41275</xdr:rowOff>
    </xdr:from>
    <xdr:to>
      <xdr:col>2</xdr:col>
      <xdr:colOff>549315</xdr:colOff>
      <xdr:row>9</xdr:row>
      <xdr:rowOff>508130</xdr:rowOff>
    </xdr:to>
    <xdr:pic>
      <xdr:nvPicPr>
        <xdr:cNvPr id="963985" name="Picture 2">
          <a:extLst>
            <a:ext uri="{FF2B5EF4-FFF2-40B4-BE49-F238E27FC236}">
              <a16:creationId xmlns:a16="http://schemas.microsoft.com/office/drawing/2014/main" xmlns="" id="{00000000-0008-0000-0900-000091B50E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42900" y="1381125"/>
          <a:ext cx="1377863" cy="86046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37</xdr:row>
      <xdr:rowOff>142875</xdr:rowOff>
    </xdr:from>
    <xdr:to>
      <xdr:col>2</xdr:col>
      <xdr:colOff>104775</xdr:colOff>
      <xdr:row>40</xdr:row>
      <xdr:rowOff>104775</xdr:rowOff>
    </xdr:to>
    <xdr:pic>
      <xdr:nvPicPr>
        <xdr:cNvPr id="1083540" name="Obraz 14" descr="1.png">
          <a:extLst>
            <a:ext uri="{FF2B5EF4-FFF2-40B4-BE49-F238E27FC236}">
              <a16:creationId xmlns:a16="http://schemas.microsoft.com/office/drawing/2014/main" xmlns="" id="{00000000-0008-0000-0100-000094881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9152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57</xdr:row>
      <xdr:rowOff>9525</xdr:rowOff>
    </xdr:from>
    <xdr:to>
      <xdr:col>2</xdr:col>
      <xdr:colOff>885825</xdr:colOff>
      <xdr:row>59</xdr:row>
      <xdr:rowOff>85725</xdr:rowOff>
    </xdr:to>
    <xdr:pic>
      <xdr:nvPicPr>
        <xdr:cNvPr id="1083541" name="Picture 2" descr="image003">
          <a:extLst>
            <a:ext uri="{FF2B5EF4-FFF2-40B4-BE49-F238E27FC236}">
              <a16:creationId xmlns:a16="http://schemas.microsoft.com/office/drawing/2014/main" xmlns="" id="{00000000-0008-0000-0100-00009588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1020425"/>
          <a:ext cx="13430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xdr:row>
      <xdr:rowOff>0</xdr:rowOff>
    </xdr:from>
    <xdr:to>
      <xdr:col>2</xdr:col>
      <xdr:colOff>428625</xdr:colOff>
      <xdr:row>7</xdr:row>
      <xdr:rowOff>142875</xdr:rowOff>
    </xdr:to>
    <xdr:pic>
      <xdr:nvPicPr>
        <xdr:cNvPr id="1083542" name="Obraz 15" descr="http://a.wpimg.pl/a/i/stg/550/wpw.png">
          <a:extLst>
            <a:ext uri="{FF2B5EF4-FFF2-40B4-BE49-F238E27FC236}">
              <a16:creationId xmlns:a16="http://schemas.microsoft.com/office/drawing/2014/main" xmlns="" id="{00000000-0008-0000-0100-000096881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4350" y="9715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94</xdr:row>
      <xdr:rowOff>0</xdr:rowOff>
    </xdr:from>
    <xdr:to>
      <xdr:col>2</xdr:col>
      <xdr:colOff>104775</xdr:colOff>
      <xdr:row>95</xdr:row>
      <xdr:rowOff>28575</xdr:rowOff>
    </xdr:to>
    <xdr:pic>
      <xdr:nvPicPr>
        <xdr:cNvPr id="1083543" name="Obraz 15" descr="http://a.wpimg.pl/a/i/stg/550/wpw.png">
          <a:extLst>
            <a:ext uri="{FF2B5EF4-FFF2-40B4-BE49-F238E27FC236}">
              <a16:creationId xmlns:a16="http://schemas.microsoft.com/office/drawing/2014/main" xmlns="" id="{00000000-0008-0000-0100-000097881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78117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67</xdr:row>
      <xdr:rowOff>76200</xdr:rowOff>
    </xdr:from>
    <xdr:to>
      <xdr:col>2</xdr:col>
      <xdr:colOff>704850</xdr:colOff>
      <xdr:row>69</xdr:row>
      <xdr:rowOff>76200</xdr:rowOff>
    </xdr:to>
    <xdr:pic>
      <xdr:nvPicPr>
        <xdr:cNvPr id="1083544" name="Obraz 2">
          <a:extLst>
            <a:ext uri="{FF2B5EF4-FFF2-40B4-BE49-F238E27FC236}">
              <a16:creationId xmlns:a16="http://schemas.microsoft.com/office/drawing/2014/main" xmlns="" id="{00000000-0008-0000-0100-000098881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0" y="12706350"/>
          <a:ext cx="10287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77</xdr:row>
      <xdr:rowOff>76200</xdr:rowOff>
    </xdr:from>
    <xdr:to>
      <xdr:col>3</xdr:col>
      <xdr:colOff>200025</xdr:colOff>
      <xdr:row>79</xdr:row>
      <xdr:rowOff>85725</xdr:rowOff>
    </xdr:to>
    <xdr:pic>
      <xdr:nvPicPr>
        <xdr:cNvPr id="1083545" name="Obraz 2">
          <a:extLst>
            <a:ext uri="{FF2B5EF4-FFF2-40B4-BE49-F238E27FC236}">
              <a16:creationId xmlns:a16="http://schemas.microsoft.com/office/drawing/2014/main" xmlns="" id="{00000000-0008-0000-0100-000099881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825" y="14487525"/>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3</xdr:row>
      <xdr:rowOff>0</xdr:rowOff>
    </xdr:from>
    <xdr:to>
      <xdr:col>9</xdr:col>
      <xdr:colOff>552450</xdr:colOff>
      <xdr:row>4</xdr:row>
      <xdr:rowOff>0</xdr:rowOff>
    </xdr:to>
    <xdr:pic>
      <xdr:nvPicPr>
        <xdr:cNvPr id="1083546" name="Obraz 9" descr="Znalezione obrazy dla zapytania flaga pl wikipedia">
          <a:extLst>
            <a:ext uri="{FF2B5EF4-FFF2-40B4-BE49-F238E27FC236}">
              <a16:creationId xmlns:a16="http://schemas.microsoft.com/office/drawing/2014/main" xmlns="" id="{00000000-0008-0000-0100-00009A881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467850" y="48577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581025</xdr:colOff>
      <xdr:row>3</xdr:row>
      <xdr:rowOff>0</xdr:rowOff>
    </xdr:from>
    <xdr:to>
      <xdr:col>9</xdr:col>
      <xdr:colOff>904875</xdr:colOff>
      <xdr:row>4</xdr:row>
      <xdr:rowOff>0</xdr:rowOff>
    </xdr:to>
    <xdr:pic>
      <xdr:nvPicPr>
        <xdr:cNvPr id="1083547" name="Obraz 1">
          <a:extLst>
            <a:ext uri="{FF2B5EF4-FFF2-40B4-BE49-F238E27FC236}">
              <a16:creationId xmlns:a16="http://schemas.microsoft.com/office/drawing/2014/main" xmlns="" id="{00000000-0008-0000-0100-00009B881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63125" y="485775"/>
          <a:ext cx="3238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891676</xdr:colOff>
      <xdr:row>5</xdr:row>
      <xdr:rowOff>58486</xdr:rowOff>
    </xdr:to>
    <xdr:pic>
      <xdr:nvPicPr>
        <xdr:cNvPr id="17" name="Picture 2">
          <a:extLst>
            <a:ext uri="{FF2B5EF4-FFF2-40B4-BE49-F238E27FC236}">
              <a16:creationId xmlns:a16="http://schemas.microsoft.com/office/drawing/2014/main" xmlns="" id="{00000000-0008-0000-0100-000011000000}"/>
            </a:ext>
          </a:extLst>
        </xdr:cNvPr>
        <xdr:cNvPicPr>
          <a:picLocks noChangeAspect="1" noChangeArrowheads="1"/>
        </xdr:cNvPicPr>
      </xdr:nvPicPr>
      <xdr:blipFill>
        <a:blip xmlns:r="http://schemas.openxmlformats.org/officeDocument/2006/relationships" r:embed="rId8"/>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0</xdr:colOff>
      <xdr:row>85</xdr:row>
      <xdr:rowOff>76200</xdr:rowOff>
    </xdr:from>
    <xdr:to>
      <xdr:col>3</xdr:col>
      <xdr:colOff>257175</xdr:colOff>
      <xdr:row>87</xdr:row>
      <xdr:rowOff>85725</xdr:rowOff>
    </xdr:to>
    <xdr:pic>
      <xdr:nvPicPr>
        <xdr:cNvPr id="1083549" name="Obraz 1">
          <a:extLst>
            <a:ext uri="{FF2B5EF4-FFF2-40B4-BE49-F238E27FC236}">
              <a16:creationId xmlns:a16="http://schemas.microsoft.com/office/drawing/2014/main" xmlns="" id="{00000000-0008-0000-0100-00009D881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0500" y="16268700"/>
          <a:ext cx="1819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1025026</xdr:colOff>
      <xdr:row>5</xdr:row>
      <xdr:rowOff>58486</xdr:rowOff>
    </xdr:to>
    <xdr:pic>
      <xdr:nvPicPr>
        <xdr:cNvPr id="3" name="Picture 2">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0</xdr:colOff>
      <xdr:row>8</xdr:row>
      <xdr:rowOff>0</xdr:rowOff>
    </xdr:from>
    <xdr:to>
      <xdr:col>2</xdr:col>
      <xdr:colOff>428625</xdr:colOff>
      <xdr:row>9</xdr:row>
      <xdr:rowOff>142875</xdr:rowOff>
    </xdr:to>
    <xdr:pic>
      <xdr:nvPicPr>
        <xdr:cNvPr id="1082442" name="Obraz 15" descr="http://a.wpimg.pl/a/i/stg/550/wpw.png">
          <a:extLst>
            <a:ext uri="{FF2B5EF4-FFF2-40B4-BE49-F238E27FC236}">
              <a16:creationId xmlns:a16="http://schemas.microsoft.com/office/drawing/2014/main" xmlns="" id="{00000000-0008-0000-0200-00004A84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9715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409575</xdr:colOff>
      <xdr:row>3</xdr:row>
      <xdr:rowOff>0</xdr:rowOff>
    </xdr:from>
    <xdr:to>
      <xdr:col>12</xdr:col>
      <xdr:colOff>9525</xdr:colOff>
      <xdr:row>4</xdr:row>
      <xdr:rowOff>0</xdr:rowOff>
    </xdr:to>
    <xdr:pic>
      <xdr:nvPicPr>
        <xdr:cNvPr id="1082443" name="Obraz 9" descr="Znalezione obrazy dla zapytania flaga pl wikipedia">
          <a:extLst>
            <a:ext uri="{FF2B5EF4-FFF2-40B4-BE49-F238E27FC236}">
              <a16:creationId xmlns:a16="http://schemas.microsoft.com/office/drawing/2014/main" xmlns="" id="{00000000-0008-0000-0200-00004B841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72475" y="48577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38100</xdr:colOff>
      <xdr:row>3</xdr:row>
      <xdr:rowOff>9525</xdr:rowOff>
    </xdr:from>
    <xdr:to>
      <xdr:col>12</xdr:col>
      <xdr:colOff>361950</xdr:colOff>
      <xdr:row>4</xdr:row>
      <xdr:rowOff>9525</xdr:rowOff>
    </xdr:to>
    <xdr:pic>
      <xdr:nvPicPr>
        <xdr:cNvPr id="1082444" name="Obraz 1">
          <a:extLst>
            <a:ext uri="{FF2B5EF4-FFF2-40B4-BE49-F238E27FC236}">
              <a16:creationId xmlns:a16="http://schemas.microsoft.com/office/drawing/2014/main" xmlns="" id="{00000000-0008-0000-0200-00004C841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667750" y="495300"/>
          <a:ext cx="3238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428625</xdr:colOff>
      <xdr:row>28</xdr:row>
      <xdr:rowOff>304800</xdr:rowOff>
    </xdr:to>
    <xdr:pic>
      <xdr:nvPicPr>
        <xdr:cNvPr id="7" name="Obraz 15" descr="http://a.wpimg.pl/a/i/stg/550/wpw.png">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5019675"/>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50</xdr:row>
      <xdr:rowOff>0</xdr:rowOff>
    </xdr:from>
    <xdr:ext cx="428625" cy="304800"/>
    <xdr:pic>
      <xdr:nvPicPr>
        <xdr:cNvPr id="9" name="Obraz 15" descr="http://a.wpimg.pl/a/i/stg/550/wpw.png">
          <a:extLst>
            <a:ext uri="{FF2B5EF4-FFF2-40B4-BE49-F238E27FC236}">
              <a16:creationId xmlns:a16="http://schemas.microsoft.com/office/drawing/2014/main" xmlns="" id="{00000000-0008-0000-02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82867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809625</xdr:colOff>
      <xdr:row>3</xdr:row>
      <xdr:rowOff>0</xdr:rowOff>
    </xdr:from>
    <xdr:to>
      <xdr:col>7</xdr:col>
      <xdr:colOff>1076325</xdr:colOff>
      <xdr:row>4</xdr:row>
      <xdr:rowOff>0</xdr:rowOff>
    </xdr:to>
    <xdr:pic>
      <xdr:nvPicPr>
        <xdr:cNvPr id="1075088" name="Obraz 8" descr="Znalezione obrazy dla zapytania flaga pl wikipedia">
          <a:extLst>
            <a:ext uri="{FF2B5EF4-FFF2-40B4-BE49-F238E27FC236}">
              <a16:creationId xmlns:a16="http://schemas.microsoft.com/office/drawing/2014/main" xmlns="" id="{00000000-0008-0000-0300-00009067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0" y="48577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1114425</xdr:colOff>
      <xdr:row>3</xdr:row>
      <xdr:rowOff>0</xdr:rowOff>
    </xdr:from>
    <xdr:to>
      <xdr:col>7</xdr:col>
      <xdr:colOff>1419225</xdr:colOff>
      <xdr:row>4</xdr:row>
      <xdr:rowOff>0</xdr:rowOff>
    </xdr:to>
    <xdr:pic>
      <xdr:nvPicPr>
        <xdr:cNvPr id="1075089" name="Obraz 9">
          <a:extLst>
            <a:ext uri="{FF2B5EF4-FFF2-40B4-BE49-F238E27FC236}">
              <a16:creationId xmlns:a16="http://schemas.microsoft.com/office/drawing/2014/main" xmlns="" id="{00000000-0008-0000-0300-000091671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25050" y="4857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1021901</xdr:colOff>
      <xdr:row>5</xdr:row>
      <xdr:rowOff>58486</xdr:rowOff>
    </xdr:to>
    <xdr:pic>
      <xdr:nvPicPr>
        <xdr:cNvPr id="7" name="Picture 2">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409575</xdr:colOff>
      <xdr:row>3</xdr:row>
      <xdr:rowOff>0</xdr:rowOff>
    </xdr:from>
    <xdr:to>
      <xdr:col>6</xdr:col>
      <xdr:colOff>695325</xdr:colOff>
      <xdr:row>4</xdr:row>
      <xdr:rowOff>0</xdr:rowOff>
    </xdr:to>
    <xdr:pic>
      <xdr:nvPicPr>
        <xdr:cNvPr id="1080147" name="Obraz 3" descr="Znalezione obrazy dla zapytania flaga pl wikipedia">
          <a:extLst>
            <a:ext uri="{FF2B5EF4-FFF2-40B4-BE49-F238E27FC236}">
              <a16:creationId xmlns:a16="http://schemas.microsoft.com/office/drawing/2014/main" xmlns="" id="{00000000-0008-0000-0400-0000537B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0" y="485775"/>
          <a:ext cx="2857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714375</xdr:colOff>
      <xdr:row>3</xdr:row>
      <xdr:rowOff>0</xdr:rowOff>
    </xdr:from>
    <xdr:to>
      <xdr:col>6</xdr:col>
      <xdr:colOff>1028700</xdr:colOff>
      <xdr:row>4</xdr:row>
      <xdr:rowOff>0</xdr:rowOff>
    </xdr:to>
    <xdr:pic>
      <xdr:nvPicPr>
        <xdr:cNvPr id="1080148" name="Obraz 4">
          <a:extLst>
            <a:ext uri="{FF2B5EF4-FFF2-40B4-BE49-F238E27FC236}">
              <a16:creationId xmlns:a16="http://schemas.microsoft.com/office/drawing/2014/main" xmlns="" id="{00000000-0008-0000-0400-0000547B1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24850" y="485775"/>
          <a:ext cx="3143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1018819</xdr:colOff>
      <xdr:row>5</xdr:row>
      <xdr:rowOff>58486</xdr:rowOff>
    </xdr:to>
    <xdr:pic>
      <xdr:nvPicPr>
        <xdr:cNvPr id="6" name="Picture 2">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95250</xdr:colOff>
      <xdr:row>33</xdr:row>
      <xdr:rowOff>9525</xdr:rowOff>
    </xdr:from>
    <xdr:to>
      <xdr:col>1</xdr:col>
      <xdr:colOff>1095375</xdr:colOff>
      <xdr:row>34</xdr:row>
      <xdr:rowOff>0</xdr:rowOff>
    </xdr:to>
    <xdr:pic>
      <xdr:nvPicPr>
        <xdr:cNvPr id="1080150" name="Obraz 5">
          <a:extLst>
            <a:ext uri="{FF2B5EF4-FFF2-40B4-BE49-F238E27FC236}">
              <a16:creationId xmlns:a16="http://schemas.microsoft.com/office/drawing/2014/main" xmlns="" id="{00000000-0008-0000-0400-0000567B1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6250" y="6000750"/>
          <a:ext cx="10001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514350</xdr:colOff>
      <xdr:row>3</xdr:row>
      <xdr:rowOff>0</xdr:rowOff>
    </xdr:from>
    <xdr:to>
      <xdr:col>15</xdr:col>
      <xdr:colOff>95250</xdr:colOff>
      <xdr:row>4</xdr:row>
      <xdr:rowOff>0</xdr:rowOff>
    </xdr:to>
    <xdr:pic>
      <xdr:nvPicPr>
        <xdr:cNvPr id="1073114" name="Obraz 6" descr="Znalezione obrazy dla zapytania flaga pl wikipedia">
          <a:extLst>
            <a:ext uri="{FF2B5EF4-FFF2-40B4-BE49-F238E27FC236}">
              <a16:creationId xmlns:a16="http://schemas.microsoft.com/office/drawing/2014/main" xmlns="" id="{00000000-0008-0000-0500-0000DA5F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48577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123825</xdr:colOff>
      <xdr:row>3</xdr:row>
      <xdr:rowOff>0</xdr:rowOff>
    </xdr:from>
    <xdr:to>
      <xdr:col>15</xdr:col>
      <xdr:colOff>428625</xdr:colOff>
      <xdr:row>4</xdr:row>
      <xdr:rowOff>0</xdr:rowOff>
    </xdr:to>
    <xdr:pic>
      <xdr:nvPicPr>
        <xdr:cNvPr id="1073115" name="Obraz 7">
          <a:extLst>
            <a:ext uri="{FF2B5EF4-FFF2-40B4-BE49-F238E27FC236}">
              <a16:creationId xmlns:a16="http://schemas.microsoft.com/office/drawing/2014/main" xmlns="" id="{00000000-0008-0000-0500-0000DB5F1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10875" y="4857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342900</xdr:colOff>
      <xdr:row>3</xdr:row>
      <xdr:rowOff>0</xdr:rowOff>
    </xdr:from>
    <xdr:to>
      <xdr:col>11</xdr:col>
      <xdr:colOff>619125</xdr:colOff>
      <xdr:row>4</xdr:row>
      <xdr:rowOff>0</xdr:rowOff>
    </xdr:to>
    <xdr:pic>
      <xdr:nvPicPr>
        <xdr:cNvPr id="1075943" name="Obraz 3" descr="Znalezione obrazy dla zapytania flaga pl wikipedia">
          <a:extLst>
            <a:ext uri="{FF2B5EF4-FFF2-40B4-BE49-F238E27FC236}">
              <a16:creationId xmlns:a16="http://schemas.microsoft.com/office/drawing/2014/main" xmlns="" id="{00000000-0008-0000-0600-0000E76A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7525" y="485775"/>
          <a:ext cx="276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647700</xdr:colOff>
      <xdr:row>3</xdr:row>
      <xdr:rowOff>0</xdr:rowOff>
    </xdr:from>
    <xdr:to>
      <xdr:col>11</xdr:col>
      <xdr:colOff>971550</xdr:colOff>
      <xdr:row>4</xdr:row>
      <xdr:rowOff>0</xdr:rowOff>
    </xdr:to>
    <xdr:pic>
      <xdr:nvPicPr>
        <xdr:cNvPr id="1075944" name="Obraz 5">
          <a:extLst>
            <a:ext uri="{FF2B5EF4-FFF2-40B4-BE49-F238E27FC236}">
              <a16:creationId xmlns:a16="http://schemas.microsoft.com/office/drawing/2014/main" xmlns="" id="{00000000-0008-0000-0600-0000E86A1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82325" y="485775"/>
          <a:ext cx="3238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1028341</xdr:colOff>
      <xdr:row>5</xdr:row>
      <xdr:rowOff>58486</xdr:rowOff>
    </xdr:to>
    <xdr:pic>
      <xdr:nvPicPr>
        <xdr:cNvPr id="6" name="Picture 2">
          <a:extLst>
            <a:ext uri="{FF2B5EF4-FFF2-40B4-BE49-F238E27FC236}">
              <a16:creationId xmlns:a16="http://schemas.microsoft.com/office/drawing/2014/main" xmlns="" id="{00000000-0008-0000-0600-000006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0</xdr:row>
      <xdr:rowOff>104775</xdr:rowOff>
    </xdr:from>
    <xdr:to>
      <xdr:col>1</xdr:col>
      <xdr:colOff>1219200</xdr:colOff>
      <xdr:row>3</xdr:row>
      <xdr:rowOff>133350</xdr:rowOff>
    </xdr:to>
    <xdr:pic>
      <xdr:nvPicPr>
        <xdr:cNvPr id="1076962" name="9C468C96-B929-4FE2-870E-0CA74E038113" descr="EAB04DB1-E208-4E81-BDA4-898C3251B9FD@waw">
          <a:extLst>
            <a:ext uri="{FF2B5EF4-FFF2-40B4-BE49-F238E27FC236}">
              <a16:creationId xmlns:a16="http://schemas.microsoft.com/office/drawing/2014/main" xmlns="" id="{00000000-0008-0000-0700-0000E26E1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56914"/>
        <a:stretch>
          <a:fillRect/>
        </a:stretch>
      </xdr:blipFill>
      <xdr:spPr bwMode="auto">
        <a:xfrm>
          <a:off x="314325" y="104775"/>
          <a:ext cx="12858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619125</xdr:colOff>
      <xdr:row>3</xdr:row>
      <xdr:rowOff>0</xdr:rowOff>
    </xdr:from>
    <xdr:to>
      <xdr:col>16</xdr:col>
      <xdr:colOff>123825</xdr:colOff>
      <xdr:row>4</xdr:row>
      <xdr:rowOff>0</xdr:rowOff>
    </xdr:to>
    <xdr:pic>
      <xdr:nvPicPr>
        <xdr:cNvPr id="1076963" name="Obraz 3" descr="Znalezione obrazy dla zapytania flaga pl wikipedia">
          <a:extLst>
            <a:ext uri="{FF2B5EF4-FFF2-40B4-BE49-F238E27FC236}">
              <a16:creationId xmlns:a16="http://schemas.microsoft.com/office/drawing/2014/main" xmlns="" id="{00000000-0008-0000-0700-0000E36E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63725" y="48577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152400</xdr:colOff>
      <xdr:row>3</xdr:row>
      <xdr:rowOff>0</xdr:rowOff>
    </xdr:from>
    <xdr:to>
      <xdr:col>16</xdr:col>
      <xdr:colOff>466725</xdr:colOff>
      <xdr:row>4</xdr:row>
      <xdr:rowOff>0</xdr:rowOff>
    </xdr:to>
    <xdr:pic>
      <xdr:nvPicPr>
        <xdr:cNvPr id="1076964" name="Obraz 4">
          <a:extLst>
            <a:ext uri="{FF2B5EF4-FFF2-40B4-BE49-F238E27FC236}">
              <a16:creationId xmlns:a16="http://schemas.microsoft.com/office/drawing/2014/main" xmlns="" id="{00000000-0008-0000-0700-0000E46E1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9000" y="485775"/>
          <a:ext cx="3143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1031771</xdr:colOff>
      <xdr:row>5</xdr:row>
      <xdr:rowOff>53809</xdr:rowOff>
    </xdr:to>
    <xdr:pic>
      <xdr:nvPicPr>
        <xdr:cNvPr id="3" name="Picture 2">
          <a:extLst>
            <a:ext uri="{FF2B5EF4-FFF2-40B4-BE49-F238E27FC236}">
              <a16:creationId xmlns:a16="http://schemas.microsoft.com/office/drawing/2014/main" xmlns=""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700" cy="863434"/>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3</xdr:col>
      <xdr:colOff>2047875</xdr:colOff>
      <xdr:row>3</xdr:row>
      <xdr:rowOff>0</xdr:rowOff>
    </xdr:from>
    <xdr:to>
      <xdr:col>3</xdr:col>
      <xdr:colOff>2305050</xdr:colOff>
      <xdr:row>4</xdr:row>
      <xdr:rowOff>0</xdr:rowOff>
    </xdr:to>
    <xdr:pic>
      <xdr:nvPicPr>
        <xdr:cNvPr id="1084446" name="Obraz 3" descr="Znalezione obrazy dla zapytania flaga pl wikipedia">
          <a:extLst>
            <a:ext uri="{FF2B5EF4-FFF2-40B4-BE49-F238E27FC236}">
              <a16:creationId xmlns:a16="http://schemas.microsoft.com/office/drawing/2014/main" xmlns="" id="{00000000-0008-0000-0800-00001E8C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15350" y="48577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2333625</xdr:colOff>
      <xdr:row>3</xdr:row>
      <xdr:rowOff>0</xdr:rowOff>
    </xdr:from>
    <xdr:to>
      <xdr:col>3</xdr:col>
      <xdr:colOff>2638425</xdr:colOff>
      <xdr:row>4</xdr:row>
      <xdr:rowOff>0</xdr:rowOff>
    </xdr:to>
    <xdr:pic>
      <xdr:nvPicPr>
        <xdr:cNvPr id="1084447" name="Obraz 4">
          <a:extLst>
            <a:ext uri="{FF2B5EF4-FFF2-40B4-BE49-F238E27FC236}">
              <a16:creationId xmlns:a16="http://schemas.microsoft.com/office/drawing/2014/main" xmlns="" id="{00000000-0008-0000-0800-00001F8C1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01100" y="4857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reklama.wp.pl/kat,1039751,dokumenty.html" TargetMode="External"/><Relationship Id="rId1" Type="http://schemas.openxmlformats.org/officeDocument/2006/relationships/hyperlink" Target="http://reklama.wp.pl/kat,1039751,dokumenty.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A1:Z32"/>
  <sheetViews>
    <sheetView tabSelected="1" zoomScaleNormal="100" workbookViewId="0">
      <pane ySplit="8" topLeftCell="A9" activePane="bottomLeft" state="frozen"/>
      <selection pane="bottomLeft"/>
    </sheetView>
  </sheetViews>
  <sheetFormatPr defaultColWidth="11.42578125" defaultRowHeight="12.75"/>
  <cols>
    <col min="1" max="1" width="5.5703125" style="142" customWidth="1"/>
    <col min="2" max="2" width="8.85546875" style="142" customWidth="1"/>
    <col min="3" max="4" width="30.85546875" style="142" customWidth="1"/>
    <col min="5" max="8" width="20" style="142" customWidth="1"/>
    <col min="9" max="9" width="17.85546875" style="142" customWidth="1"/>
    <col min="10" max="10" width="8.85546875" style="142" customWidth="1"/>
    <col min="11" max="11" width="38.42578125" style="142" customWidth="1"/>
    <col min="12" max="13" width="9.140625" style="142" customWidth="1"/>
    <col min="14" max="15" width="11.42578125" style="142" customWidth="1"/>
    <col min="16" max="16" width="9.140625" style="142" customWidth="1"/>
    <col min="17" max="16384" width="11.42578125" style="142"/>
  </cols>
  <sheetData>
    <row r="1" spans="1:26" ht="12.75" customHeight="1">
      <c r="A1" s="353"/>
      <c r="B1" s="353"/>
      <c r="C1" s="353"/>
      <c r="D1" s="353"/>
      <c r="E1" s="523" t="str">
        <f>IF($B$30="Polski",CONCATENATE("Cennik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F1" s="523"/>
      <c r="G1" s="523"/>
      <c r="H1" s="523"/>
      <c r="I1" s="18"/>
      <c r="J1" s="353"/>
      <c r="K1" s="523"/>
      <c r="L1" s="523"/>
      <c r="M1" s="523"/>
      <c r="N1" s="523"/>
      <c r="O1" s="523"/>
      <c r="P1" s="523"/>
      <c r="Q1" s="353"/>
      <c r="R1" s="353"/>
      <c r="S1" s="353"/>
      <c r="T1" s="353"/>
      <c r="U1" s="353"/>
      <c r="V1" s="353"/>
      <c r="W1" s="353"/>
      <c r="X1" s="353"/>
      <c r="Y1" s="353"/>
      <c r="Z1" s="353"/>
    </row>
    <row r="2" spans="1:26" ht="12.75" customHeight="1">
      <c r="A2" s="353"/>
      <c r="B2" s="353"/>
      <c r="C2" s="200"/>
      <c r="D2" s="18"/>
      <c r="E2" s="523"/>
      <c r="F2" s="523"/>
      <c r="G2" s="523"/>
      <c r="H2" s="523"/>
      <c r="I2" s="18"/>
      <c r="J2" s="355"/>
      <c r="K2" s="523"/>
      <c r="L2" s="523"/>
      <c r="M2" s="523"/>
      <c r="N2" s="523"/>
      <c r="O2" s="523"/>
      <c r="P2" s="523"/>
      <c r="Q2" s="353"/>
      <c r="R2" s="353"/>
      <c r="S2" s="353"/>
      <c r="T2" s="353"/>
      <c r="U2" s="353"/>
      <c r="V2" s="353"/>
      <c r="W2" s="353"/>
      <c r="X2" s="353"/>
      <c r="Y2" s="353"/>
      <c r="Z2" s="353"/>
    </row>
    <row r="3" spans="1:26">
      <c r="A3" s="353"/>
      <c r="B3" s="353"/>
      <c r="C3" s="353"/>
      <c r="D3" s="18"/>
      <c r="E3" s="523"/>
      <c r="F3" s="523"/>
      <c r="G3" s="523"/>
      <c r="H3" s="523"/>
      <c r="I3" s="18"/>
      <c r="J3" s="355"/>
      <c r="K3" s="523"/>
      <c r="L3" s="523"/>
      <c r="M3" s="523"/>
      <c r="N3" s="523"/>
      <c r="O3" s="523"/>
      <c r="P3" s="523"/>
      <c r="Q3" s="353"/>
      <c r="R3" s="353"/>
      <c r="S3" s="353"/>
      <c r="T3" s="353"/>
      <c r="U3" s="353"/>
      <c r="V3" s="353"/>
      <c r="W3" s="353"/>
      <c r="X3" s="353"/>
      <c r="Y3" s="353"/>
      <c r="Z3" s="353"/>
    </row>
    <row r="4" spans="1:26" s="35" customFormat="1" ht="12.75" customHeight="1">
      <c r="A4" s="356"/>
      <c r="B4" s="36" t="s">
        <v>0</v>
      </c>
      <c r="C4" s="356"/>
      <c r="D4" s="356"/>
      <c r="E4" s="356"/>
      <c r="F4" s="356"/>
      <c r="G4" s="356"/>
      <c r="H4" s="356"/>
      <c r="I4" s="356"/>
      <c r="J4" s="356"/>
      <c r="K4" s="356"/>
      <c r="L4" s="356"/>
      <c r="M4" s="356"/>
      <c r="N4" s="356"/>
      <c r="O4" s="356"/>
      <c r="P4" s="356"/>
      <c r="Q4" s="356"/>
      <c r="R4" s="356"/>
      <c r="S4" s="356"/>
      <c r="T4" s="356"/>
      <c r="U4" s="356"/>
      <c r="V4" s="356"/>
      <c r="W4" s="356"/>
      <c r="X4" s="356"/>
      <c r="Y4" s="356"/>
      <c r="Z4" s="356"/>
    </row>
    <row r="5" spans="1:26" s="123" customFormat="1" ht="12.75" customHeight="1">
      <c r="A5" s="341"/>
      <c r="B5" s="17"/>
      <c r="C5" s="341"/>
      <c r="D5" s="341"/>
      <c r="E5" s="341"/>
      <c r="F5" s="341"/>
      <c r="G5" s="341"/>
      <c r="H5" s="341"/>
      <c r="I5" s="341"/>
      <c r="J5" s="341"/>
      <c r="K5" s="341"/>
      <c r="L5" s="341"/>
      <c r="M5" s="341"/>
      <c r="N5" s="341"/>
      <c r="O5" s="341"/>
      <c r="P5" s="341"/>
      <c r="Q5" s="341"/>
      <c r="R5" s="341"/>
      <c r="S5" s="341"/>
      <c r="T5" s="341"/>
      <c r="U5" s="341"/>
      <c r="V5" s="341"/>
      <c r="W5" s="341"/>
      <c r="X5" s="341"/>
      <c r="Y5" s="341"/>
      <c r="Z5" s="341"/>
    </row>
    <row r="6" spans="1:26">
      <c r="A6" s="353"/>
      <c r="B6" s="341"/>
      <c r="C6" s="341"/>
      <c r="D6" s="341"/>
      <c r="E6" s="353"/>
      <c r="F6" s="353"/>
      <c r="G6" s="353"/>
      <c r="H6" s="353"/>
      <c r="I6" s="353"/>
      <c r="J6" s="341"/>
      <c r="K6" s="341"/>
      <c r="L6" s="341"/>
      <c r="M6" s="341"/>
      <c r="N6" s="341"/>
      <c r="O6" s="341"/>
      <c r="P6" s="341"/>
      <c r="Q6" s="353"/>
      <c r="R6" s="353"/>
      <c r="S6" s="353"/>
      <c r="T6" s="353"/>
      <c r="U6" s="353"/>
      <c r="V6" s="353"/>
      <c r="W6" s="353"/>
      <c r="X6" s="353"/>
      <c r="Y6" s="353"/>
      <c r="Z6" s="353"/>
    </row>
    <row r="7" spans="1:26" ht="36.200000000000003" customHeight="1">
      <c r="A7" s="341"/>
      <c r="B7" s="69"/>
      <c r="C7" s="138" t="s">
        <v>1</v>
      </c>
      <c r="D7" s="137" t="s">
        <v>2</v>
      </c>
      <c r="E7" s="103"/>
      <c r="F7" s="524"/>
      <c r="G7" s="524"/>
      <c r="H7" s="524"/>
      <c r="I7" s="524"/>
      <c r="J7" s="353"/>
      <c r="K7" s="526"/>
      <c r="L7" s="526"/>
      <c r="M7" s="526"/>
      <c r="N7" s="526"/>
      <c r="O7" s="526"/>
      <c r="P7" s="526"/>
      <c r="Q7" s="353"/>
      <c r="R7" s="353"/>
      <c r="S7" s="353"/>
      <c r="T7" s="353"/>
      <c r="U7" s="353"/>
      <c r="V7" s="353"/>
      <c r="W7" s="353"/>
      <c r="X7" s="353"/>
      <c r="Y7" s="353"/>
      <c r="Z7" s="153" t="s">
        <v>3</v>
      </c>
    </row>
    <row r="8" spans="1:26" ht="25.5" customHeight="1">
      <c r="A8" s="353"/>
      <c r="B8" s="139"/>
      <c r="C8" s="528" t="str">
        <f>INDEX(Z7:Z8,A30)</f>
        <v>Polski</v>
      </c>
      <c r="D8" s="528"/>
      <c r="E8" s="495"/>
      <c r="F8" s="525"/>
      <c r="G8" s="525"/>
      <c r="H8" s="525"/>
      <c r="I8" s="525"/>
      <c r="J8" s="341"/>
      <c r="K8" s="428"/>
      <c r="L8" s="529"/>
      <c r="M8" s="529"/>
      <c r="N8" s="529"/>
      <c r="O8" s="529"/>
      <c r="P8" s="529"/>
      <c r="Q8" s="353"/>
      <c r="R8" s="353"/>
      <c r="S8" s="353"/>
      <c r="T8" s="353"/>
      <c r="U8" s="353"/>
      <c r="V8" s="353"/>
      <c r="W8" s="353"/>
      <c r="X8" s="353"/>
      <c r="Y8" s="353"/>
      <c r="Z8" s="153" t="s">
        <v>4</v>
      </c>
    </row>
    <row r="9" spans="1:26" ht="25.35" customHeight="1">
      <c r="A9" s="353"/>
      <c r="B9" s="139"/>
      <c r="C9" s="530"/>
      <c r="D9" s="527"/>
      <c r="E9" s="427"/>
      <c r="F9" s="64"/>
      <c r="G9" s="65"/>
      <c r="H9" s="66"/>
      <c r="I9" s="66"/>
      <c r="J9" s="341"/>
      <c r="K9" s="86"/>
      <c r="L9" s="531"/>
      <c r="M9" s="531"/>
      <c r="N9" s="531"/>
      <c r="O9" s="531"/>
      <c r="P9" s="531"/>
      <c r="Q9" s="353"/>
      <c r="R9" s="353"/>
      <c r="S9" s="353"/>
      <c r="T9" s="353"/>
      <c r="U9" s="353"/>
      <c r="V9" s="353"/>
      <c r="W9" s="353"/>
      <c r="X9" s="353"/>
      <c r="Y9" s="353"/>
      <c r="Z9" s="353"/>
    </row>
    <row r="10" spans="1:26" ht="12.75" customHeight="1">
      <c r="A10" s="353"/>
      <c r="B10" s="139"/>
      <c r="C10" s="429"/>
      <c r="D10" s="427"/>
      <c r="E10" s="427"/>
      <c r="F10" s="64"/>
      <c r="G10" s="65"/>
      <c r="H10" s="66"/>
      <c r="I10" s="66"/>
      <c r="J10" s="341"/>
      <c r="K10" s="86"/>
      <c r="L10" s="430"/>
      <c r="M10" s="430"/>
      <c r="N10" s="430"/>
      <c r="O10" s="430"/>
      <c r="P10" s="430"/>
      <c r="Q10" s="353"/>
      <c r="R10" s="353"/>
      <c r="S10" s="353"/>
      <c r="T10" s="353"/>
      <c r="U10" s="353"/>
      <c r="V10" s="353"/>
      <c r="W10" s="353"/>
      <c r="X10" s="353"/>
      <c r="Y10" s="353"/>
      <c r="Z10" s="353"/>
    </row>
    <row r="11" spans="1:26">
      <c r="A11" s="353"/>
      <c r="B11" s="532"/>
      <c r="C11" s="533"/>
      <c r="D11" s="533"/>
      <c r="E11" s="533"/>
      <c r="F11" s="533"/>
      <c r="G11" s="533"/>
      <c r="H11" s="533"/>
      <c r="I11" s="66"/>
      <c r="J11" s="341"/>
      <c r="K11" s="86"/>
      <c r="L11" s="531"/>
      <c r="M11" s="531"/>
      <c r="N11" s="531"/>
      <c r="O11" s="531"/>
      <c r="P11" s="531"/>
      <c r="Q11" s="353"/>
      <c r="R11" s="353"/>
      <c r="S11" s="353"/>
      <c r="T11" s="353"/>
      <c r="U11" s="353"/>
      <c r="V11" s="353"/>
      <c r="W11" s="353"/>
      <c r="X11" s="353"/>
      <c r="Y11" s="353"/>
      <c r="Z11" s="353"/>
    </row>
    <row r="12" spans="1:26" ht="12.75" customHeight="1">
      <c r="A12" s="353"/>
      <c r="B12" s="533"/>
      <c r="C12" s="533"/>
      <c r="D12" s="533"/>
      <c r="E12" s="533"/>
      <c r="F12" s="533"/>
      <c r="G12" s="533"/>
      <c r="H12" s="533"/>
      <c r="I12" s="66"/>
      <c r="J12" s="341"/>
      <c r="K12" s="87"/>
      <c r="L12" s="534"/>
      <c r="M12" s="534"/>
      <c r="N12" s="534"/>
      <c r="O12" s="534"/>
      <c r="P12" s="534"/>
      <c r="Q12" s="353"/>
      <c r="R12" s="353"/>
      <c r="S12" s="353"/>
      <c r="T12" s="353"/>
      <c r="U12" s="353"/>
      <c r="V12" s="353"/>
      <c r="W12" s="353"/>
      <c r="X12" s="353"/>
      <c r="Y12" s="353"/>
      <c r="Z12" s="353"/>
    </row>
    <row r="13" spans="1:26" ht="12.75" customHeight="1">
      <c r="A13" s="353"/>
      <c r="B13" s="431"/>
      <c r="C13" s="431"/>
      <c r="D13" s="431"/>
      <c r="E13" s="431"/>
      <c r="F13" s="431"/>
      <c r="G13" s="431"/>
      <c r="H13" s="431"/>
      <c r="I13" s="66"/>
      <c r="J13" s="341"/>
      <c r="K13" s="87"/>
      <c r="L13" s="432"/>
      <c r="M13" s="432"/>
      <c r="N13" s="432"/>
      <c r="O13" s="432"/>
      <c r="P13" s="432"/>
      <c r="Q13" s="353"/>
      <c r="R13" s="353"/>
      <c r="S13" s="353"/>
      <c r="T13" s="353"/>
      <c r="U13" s="353"/>
      <c r="V13" s="353"/>
      <c r="W13" s="353"/>
      <c r="X13" s="353"/>
      <c r="Y13" s="353"/>
      <c r="Z13" s="353"/>
    </row>
    <row r="14" spans="1:26" ht="12.75" customHeight="1">
      <c r="A14" s="341"/>
      <c r="B14" s="201"/>
      <c r="C14" s="201"/>
      <c r="D14" s="201"/>
      <c r="E14" s="85"/>
      <c r="F14" s="44"/>
      <c r="G14" s="45"/>
      <c r="H14" s="46"/>
      <c r="I14" s="46"/>
      <c r="J14" s="341"/>
      <c r="K14" s="87"/>
      <c r="L14" s="432"/>
      <c r="M14" s="432"/>
      <c r="N14" s="432"/>
      <c r="O14" s="432"/>
      <c r="P14" s="432"/>
      <c r="Q14" s="353"/>
      <c r="R14" s="353"/>
      <c r="S14" s="353"/>
      <c r="T14" s="353"/>
      <c r="U14" s="353"/>
      <c r="V14" s="353"/>
      <c r="W14" s="353"/>
      <c r="X14" s="353"/>
      <c r="Y14" s="353"/>
      <c r="Z14" s="353"/>
    </row>
    <row r="15" spans="1:26">
      <c r="A15" s="341"/>
      <c r="B15" s="426"/>
      <c r="C15" s="426"/>
      <c r="D15" s="505"/>
      <c r="E15" s="426"/>
      <c r="F15" s="535"/>
      <c r="G15" s="426"/>
      <c r="H15" s="426"/>
      <c r="I15" s="42"/>
      <c r="J15" s="341"/>
      <c r="K15" s="86"/>
      <c r="L15" s="534"/>
      <c r="M15" s="534"/>
      <c r="N15" s="534"/>
      <c r="O15" s="534"/>
      <c r="P15" s="534"/>
      <c r="Q15" s="353"/>
      <c r="R15" s="353"/>
      <c r="S15" s="353"/>
      <c r="T15" s="353"/>
      <c r="U15" s="353"/>
      <c r="V15" s="353"/>
      <c r="W15" s="353"/>
      <c r="X15" s="353"/>
      <c r="Y15" s="353"/>
      <c r="Z15" s="353"/>
    </row>
    <row r="16" spans="1:26" ht="15">
      <c r="A16" s="341"/>
      <c r="B16" s="139"/>
      <c r="C16" s="143"/>
      <c r="D16" s="144"/>
      <c r="E16" s="145"/>
      <c r="F16" s="535"/>
      <c r="G16" s="146"/>
      <c r="H16" s="147"/>
      <c r="I16" s="147"/>
      <c r="J16" s="353"/>
      <c r="K16" s="88"/>
      <c r="L16" s="534"/>
      <c r="M16" s="534"/>
      <c r="N16" s="534"/>
      <c r="O16" s="534"/>
      <c r="P16" s="534"/>
      <c r="Q16" s="353"/>
      <c r="R16" s="353"/>
      <c r="S16" s="353"/>
      <c r="T16" s="353"/>
      <c r="U16" s="353"/>
      <c r="V16" s="353"/>
      <c r="W16" s="353"/>
      <c r="X16" s="353"/>
      <c r="Y16" s="353"/>
      <c r="Z16" s="353"/>
    </row>
    <row r="17" spans="1:16" ht="15">
      <c r="A17" s="341"/>
      <c r="B17" s="527"/>
      <c r="C17" s="527"/>
      <c r="D17" s="527"/>
      <c r="E17" s="527"/>
      <c r="F17" s="527"/>
      <c r="G17" s="527"/>
      <c r="H17" s="527"/>
      <c r="I17" s="148"/>
      <c r="J17" s="353"/>
      <c r="K17" s="428"/>
      <c r="L17" s="526"/>
      <c r="M17" s="526"/>
      <c r="N17" s="526"/>
      <c r="O17" s="526"/>
      <c r="P17" s="526"/>
    </row>
    <row r="18" spans="1:16">
      <c r="A18" s="353"/>
      <c r="B18" s="63"/>
      <c r="C18" s="63"/>
      <c r="D18" s="63"/>
      <c r="E18" s="63"/>
      <c r="F18" s="63"/>
      <c r="G18" s="63"/>
      <c r="H18" s="341"/>
      <c r="I18" s="341"/>
      <c r="J18" s="353"/>
      <c r="K18" s="341"/>
      <c r="L18" s="341"/>
      <c r="M18" s="341"/>
      <c r="N18" s="341"/>
      <c r="O18" s="341"/>
      <c r="P18" s="341"/>
    </row>
    <row r="19" spans="1:16" ht="25.5" customHeight="1">
      <c r="A19" s="353"/>
      <c r="B19" s="535"/>
      <c r="C19" s="426"/>
      <c r="D19" s="426"/>
      <c r="E19" s="426"/>
      <c r="F19" s="426"/>
      <c r="G19" s="426"/>
      <c r="H19" s="341"/>
      <c r="I19" s="341"/>
      <c r="J19" s="341"/>
      <c r="K19" s="141"/>
      <c r="L19" s="537"/>
      <c r="M19" s="537"/>
      <c r="N19" s="537"/>
      <c r="O19" s="537"/>
      <c r="P19" s="537"/>
    </row>
    <row r="20" spans="1:16" ht="25.5" customHeight="1">
      <c r="A20" s="353"/>
      <c r="B20" s="535"/>
      <c r="C20" s="149"/>
      <c r="D20" s="150"/>
      <c r="E20" s="149"/>
      <c r="F20" s="151"/>
      <c r="G20" s="152"/>
      <c r="H20" s="341"/>
      <c r="I20" s="341"/>
      <c r="J20" s="341"/>
      <c r="K20" s="139"/>
      <c r="L20" s="538"/>
      <c r="M20" s="538"/>
      <c r="N20" s="538"/>
      <c r="O20" s="538"/>
      <c r="P20" s="538"/>
    </row>
    <row r="21" spans="1:16" ht="25.5" customHeight="1">
      <c r="A21" s="353"/>
      <c r="B21" s="535"/>
      <c r="C21" s="149"/>
      <c r="D21" s="150"/>
      <c r="E21" s="149"/>
      <c r="F21" s="151"/>
      <c r="G21" s="152"/>
      <c r="H21" s="341"/>
      <c r="I21" s="341"/>
      <c r="J21" s="341"/>
      <c r="K21" s="139"/>
      <c r="L21" s="539"/>
      <c r="M21" s="539"/>
      <c r="N21" s="539"/>
      <c r="O21" s="539"/>
      <c r="P21" s="539"/>
    </row>
    <row r="22" spans="1:16" ht="25.5" customHeight="1">
      <c r="A22" s="353"/>
      <c r="B22" s="535"/>
      <c r="C22" s="149"/>
      <c r="D22" s="150"/>
      <c r="E22" s="149"/>
      <c r="F22" s="151"/>
      <c r="G22" s="152"/>
      <c r="H22" s="341"/>
      <c r="I22" s="341"/>
      <c r="J22" s="341"/>
      <c r="K22" s="139"/>
      <c r="L22" s="536"/>
      <c r="M22" s="536"/>
      <c r="N22" s="536"/>
      <c r="O22" s="536"/>
      <c r="P22" s="536"/>
    </row>
    <row r="23" spans="1:16" ht="25.5" customHeight="1">
      <c r="A23" s="353"/>
      <c r="B23" s="535"/>
      <c r="C23" s="149"/>
      <c r="D23" s="150"/>
      <c r="E23" s="149"/>
      <c r="F23" s="151"/>
      <c r="G23" s="152"/>
      <c r="H23" s="341"/>
      <c r="I23" s="341"/>
      <c r="J23" s="341"/>
      <c r="K23" s="139"/>
      <c r="L23" s="536"/>
      <c r="M23" s="536"/>
      <c r="N23" s="536"/>
      <c r="O23" s="536"/>
      <c r="P23" s="536"/>
    </row>
    <row r="24" spans="1:16" ht="25.5" customHeight="1">
      <c r="A24" s="353"/>
      <c r="B24" s="535"/>
      <c r="C24" s="149"/>
      <c r="D24" s="150"/>
      <c r="E24" s="149"/>
      <c r="F24" s="151"/>
      <c r="G24" s="152"/>
      <c r="H24" s="341"/>
      <c r="I24" s="341"/>
      <c r="J24" s="341"/>
      <c r="K24" s="139"/>
      <c r="L24" s="536"/>
      <c r="M24" s="536"/>
      <c r="N24" s="536"/>
      <c r="O24" s="536"/>
      <c r="P24" s="536"/>
    </row>
    <row r="25" spans="1:16" ht="25.5" customHeight="1">
      <c r="A25" s="353"/>
      <c r="B25" s="535"/>
      <c r="C25" s="149"/>
      <c r="D25" s="150"/>
      <c r="E25" s="149"/>
      <c r="F25" s="152"/>
      <c r="G25" s="152"/>
      <c r="H25" s="341"/>
      <c r="I25" s="341"/>
      <c r="J25" s="341"/>
      <c r="K25" s="139"/>
      <c r="L25" s="536"/>
      <c r="M25" s="536"/>
      <c r="N25" s="536"/>
      <c r="O25" s="536"/>
      <c r="P25" s="536"/>
    </row>
    <row r="26" spans="1:16" ht="25.5" customHeight="1">
      <c r="A26" s="353"/>
      <c r="B26" s="62"/>
      <c r="C26" s="341"/>
      <c r="D26" s="341"/>
      <c r="E26" s="341"/>
      <c r="F26" s="341"/>
      <c r="G26" s="341"/>
      <c r="H26" s="341"/>
      <c r="I26" s="341"/>
      <c r="J26" s="341"/>
      <c r="K26" s="139"/>
      <c r="L26" s="536"/>
      <c r="M26" s="536"/>
      <c r="N26" s="536"/>
      <c r="O26" s="536"/>
      <c r="P26" s="536"/>
    </row>
    <row r="27" spans="1:16" ht="25.5" customHeight="1">
      <c r="A27" s="353"/>
      <c r="B27" s="83"/>
      <c r="C27" s="40"/>
      <c r="D27" s="40"/>
      <c r="E27" s="40"/>
      <c r="F27" s="40"/>
      <c r="G27" s="40"/>
      <c r="H27" s="341"/>
      <c r="I27" s="341"/>
      <c r="J27" s="341"/>
      <c r="K27" s="139"/>
      <c r="L27" s="536"/>
      <c r="M27" s="536"/>
      <c r="N27" s="536"/>
      <c r="O27" s="536"/>
      <c r="P27" s="536"/>
    </row>
    <row r="28" spans="1:16" ht="25.5" customHeight="1">
      <c r="A28" s="353"/>
      <c r="B28" s="353"/>
      <c r="C28" s="353"/>
      <c r="D28" s="353"/>
      <c r="E28" s="353"/>
      <c r="F28" s="353"/>
      <c r="G28" s="353"/>
      <c r="H28" s="353"/>
      <c r="I28" s="353"/>
      <c r="J28" s="341"/>
      <c r="K28" s="140"/>
      <c r="L28" s="536"/>
      <c r="M28" s="536"/>
      <c r="N28" s="536"/>
      <c r="O28" s="536"/>
      <c r="P28" s="536"/>
    </row>
    <row r="29" spans="1:16" ht="25.5" customHeight="1">
      <c r="A29" s="353"/>
      <c r="B29" s="353"/>
      <c r="C29" s="353"/>
      <c r="D29" s="353"/>
      <c r="E29" s="353"/>
      <c r="F29" s="353"/>
      <c r="G29" s="353"/>
      <c r="H29" s="353"/>
      <c r="I29" s="353"/>
      <c r="J29" s="341"/>
      <c r="K29" s="140"/>
      <c r="L29" s="536"/>
      <c r="M29" s="536"/>
      <c r="N29" s="536"/>
      <c r="O29" s="536"/>
      <c r="P29" s="536"/>
    </row>
    <row r="30" spans="1:16" ht="25.5" customHeight="1">
      <c r="A30" s="153">
        <v>1</v>
      </c>
      <c r="B30" s="153" t="str">
        <f>INDEX(Z7:Z8,A30)</f>
        <v>Polski</v>
      </c>
      <c r="C30" s="353"/>
      <c r="D30" s="353"/>
      <c r="E30" s="353"/>
      <c r="F30" s="353"/>
      <c r="G30" s="353"/>
      <c r="H30" s="353"/>
      <c r="I30" s="353"/>
      <c r="J30" s="341"/>
      <c r="K30" s="83"/>
      <c r="L30" s="83"/>
      <c r="M30" s="341"/>
      <c r="N30" s="341"/>
      <c r="O30" s="341"/>
      <c r="P30" s="341"/>
    </row>
    <row r="31" spans="1:16" ht="26.25" customHeight="1">
      <c r="A31" s="353"/>
      <c r="B31" s="353"/>
      <c r="C31" s="353"/>
      <c r="D31" s="353"/>
      <c r="E31" s="353"/>
      <c r="F31" s="353"/>
      <c r="G31" s="353"/>
      <c r="H31" s="353"/>
      <c r="I31" s="353"/>
      <c r="J31" s="341"/>
      <c r="K31" s="341"/>
      <c r="L31" s="341"/>
      <c r="M31" s="341"/>
      <c r="N31" s="341"/>
      <c r="O31" s="341"/>
      <c r="P31" s="341"/>
    </row>
    <row r="32" spans="1:16">
      <c r="A32" s="353"/>
      <c r="B32" s="353"/>
      <c r="C32" s="353"/>
      <c r="D32" s="353"/>
      <c r="E32" s="353"/>
      <c r="F32" s="353"/>
      <c r="G32" s="353"/>
      <c r="H32" s="353"/>
      <c r="I32" s="353"/>
      <c r="J32" s="341"/>
      <c r="K32" s="341"/>
      <c r="L32" s="341"/>
      <c r="M32" s="341"/>
      <c r="N32" s="341"/>
      <c r="O32" s="341"/>
      <c r="P32" s="341"/>
    </row>
  </sheetData>
  <mergeCells count="32">
    <mergeCell ref="L26:P26"/>
    <mergeCell ref="L27:P27"/>
    <mergeCell ref="L28:P28"/>
    <mergeCell ref="L29:P29"/>
    <mergeCell ref="B19:B25"/>
    <mergeCell ref="L19:P19"/>
    <mergeCell ref="L20:P20"/>
    <mergeCell ref="L21:P21"/>
    <mergeCell ref="L22:P22"/>
    <mergeCell ref="L23:P23"/>
    <mergeCell ref="L24:P24"/>
    <mergeCell ref="L25:P25"/>
    <mergeCell ref="B17:H17"/>
    <mergeCell ref="L17:P17"/>
    <mergeCell ref="C8:D8"/>
    <mergeCell ref="L8:P8"/>
    <mergeCell ref="C9:D9"/>
    <mergeCell ref="L9:P9"/>
    <mergeCell ref="B11:H11"/>
    <mergeCell ref="L11:P11"/>
    <mergeCell ref="B12:H12"/>
    <mergeCell ref="L12:P12"/>
    <mergeCell ref="F15:F16"/>
    <mergeCell ref="L15:P15"/>
    <mergeCell ref="L16:P16"/>
    <mergeCell ref="E1:H3"/>
    <mergeCell ref="K1:P3"/>
    <mergeCell ref="F7:F8"/>
    <mergeCell ref="G7:G8"/>
    <mergeCell ref="H7:H8"/>
    <mergeCell ref="I7:I8"/>
    <mergeCell ref="K7:P7"/>
  </mergeCells>
  <pageMargins left="0.7" right="0.7" top="0.75" bottom="0.75" header="0.3" footer="0.3"/>
  <pageSetup paperSize="256"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0</xdr:colOff>
                    <xdr:row>7</xdr:row>
                    <xdr:rowOff>9525</xdr:rowOff>
                  </from>
                  <to>
                    <xdr:col>4</xdr:col>
                    <xdr:colOff>0</xdr:colOff>
                    <xdr:row>7</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FF0000"/>
  </sheetPr>
  <dimension ref="A1:AY393"/>
  <sheetViews>
    <sheetView zoomScaleNormal="100" workbookViewId="0"/>
  </sheetViews>
  <sheetFormatPr defaultRowHeight="15"/>
  <cols>
    <col min="3" max="3" width="30.85546875" customWidth="1"/>
    <col min="6" max="6" width="15.5703125" customWidth="1"/>
    <col min="7" max="7" width="9.140625" customWidth="1"/>
    <col min="8" max="8" width="4.85546875" customWidth="1"/>
    <col min="9" max="9" width="4" hidden="1" customWidth="1"/>
    <col min="13" max="13" width="37.42578125" customWidth="1"/>
    <col min="16" max="16" width="18.85546875" customWidth="1"/>
    <col min="17" max="51" width="9.140625" style="13" customWidth="1"/>
  </cols>
  <sheetData>
    <row r="1" spans="1:18" s="13" customFormat="1">
      <c r="A1" s="354"/>
      <c r="B1" s="354"/>
      <c r="C1" s="354"/>
      <c r="D1" s="354"/>
      <c r="E1" s="354"/>
      <c r="F1" s="354"/>
      <c r="G1" s="354"/>
      <c r="H1" s="354"/>
      <c r="I1" s="354"/>
      <c r="J1" s="354"/>
      <c r="K1" s="354"/>
      <c r="L1" s="354"/>
      <c r="M1" s="354"/>
      <c r="N1" s="354"/>
      <c r="O1" s="354"/>
      <c r="P1" s="354"/>
      <c r="Q1" s="354"/>
      <c r="R1" s="354"/>
    </row>
    <row r="2" spans="1:18" ht="15" customHeight="1">
      <c r="A2" s="12"/>
      <c r="B2" s="12"/>
      <c r="C2" s="12"/>
      <c r="D2" s="12"/>
      <c r="E2" s="12"/>
      <c r="F2" s="12"/>
      <c r="G2" s="12"/>
      <c r="H2" s="12"/>
      <c r="I2" s="12"/>
      <c r="J2" s="1022"/>
      <c r="K2" s="1022"/>
      <c r="L2" s="1022"/>
      <c r="M2" s="1022"/>
      <c r="N2" s="92"/>
      <c r="O2" s="92"/>
      <c r="P2" s="92"/>
      <c r="Q2" s="92"/>
      <c r="R2" s="92"/>
    </row>
    <row r="3" spans="1:18" ht="15" customHeight="1">
      <c r="A3" s="12"/>
      <c r="B3" s="12"/>
      <c r="C3" s="12"/>
      <c r="D3" s="12"/>
      <c r="E3" s="12"/>
      <c r="F3" s="12"/>
      <c r="G3" s="12"/>
      <c r="H3" s="12"/>
      <c r="I3" s="12"/>
      <c r="J3" s="1022"/>
      <c r="K3" s="1022"/>
      <c r="L3" s="1022"/>
      <c r="M3" s="1022"/>
      <c r="N3" s="92"/>
      <c r="O3" s="92"/>
      <c r="P3" s="92"/>
      <c r="Q3" s="92"/>
      <c r="R3" s="92"/>
    </row>
    <row r="4" spans="1:18">
      <c r="A4" s="12"/>
      <c r="B4" s="12"/>
      <c r="C4" s="12"/>
      <c r="D4" s="12"/>
      <c r="E4" s="12"/>
      <c r="F4" s="12"/>
      <c r="G4" s="12"/>
      <c r="H4" s="12"/>
      <c r="I4" s="12"/>
      <c r="J4" s="1022"/>
      <c r="K4" s="1022"/>
      <c r="L4" s="1022"/>
      <c r="M4" s="1022"/>
      <c r="N4" s="92"/>
      <c r="O4" s="92"/>
      <c r="P4" s="92"/>
      <c r="Q4" s="92"/>
      <c r="R4" s="92"/>
    </row>
    <row r="5" spans="1:18">
      <c r="A5" s="12"/>
      <c r="B5" s="12"/>
      <c r="C5" s="12"/>
      <c r="D5" s="12"/>
      <c r="E5" s="12"/>
      <c r="F5" s="12"/>
      <c r="G5" s="12"/>
      <c r="H5" s="12"/>
      <c r="I5" s="12"/>
      <c r="J5" s="92"/>
      <c r="K5" s="92"/>
      <c r="L5" s="92"/>
      <c r="M5" s="92"/>
      <c r="N5" s="92"/>
      <c r="O5" s="92"/>
      <c r="P5" s="92"/>
      <c r="Q5" s="92"/>
      <c r="R5" s="92"/>
    </row>
    <row r="6" spans="1:18">
      <c r="A6" s="12"/>
      <c r="B6" s="12"/>
      <c r="C6" s="12"/>
      <c r="D6" s="12"/>
      <c r="E6" s="12"/>
      <c r="F6" s="12"/>
      <c r="G6" s="12"/>
      <c r="H6" s="12"/>
      <c r="I6" s="12"/>
      <c r="J6" s="12"/>
      <c r="K6" s="12"/>
      <c r="L6" s="12"/>
      <c r="M6" s="12"/>
      <c r="N6" s="12"/>
      <c r="O6" s="12"/>
      <c r="P6" s="12"/>
      <c r="Q6" s="354"/>
      <c r="R6" s="354"/>
    </row>
    <row r="7" spans="1:18">
      <c r="A7" s="12"/>
      <c r="B7" s="12"/>
      <c r="C7" s="12"/>
      <c r="D7" s="12"/>
      <c r="E7" s="12"/>
      <c r="F7" s="12"/>
      <c r="G7" s="12"/>
      <c r="H7" s="12"/>
      <c r="I7" s="12"/>
      <c r="J7" s="12"/>
      <c r="K7" s="12"/>
      <c r="L7" s="12"/>
      <c r="M7" s="12"/>
      <c r="N7" s="12"/>
      <c r="O7" s="12"/>
      <c r="P7" s="12"/>
      <c r="Q7" s="354"/>
      <c r="R7" s="354"/>
    </row>
    <row r="8" spans="1:18">
      <c r="A8" s="12"/>
      <c r="B8" s="12"/>
      <c r="C8" s="12"/>
      <c r="D8" s="1019" t="str">
        <f>IF('Język - Language'!$B$30="Polski","Regulamin sprzedaży reklamy","General rules of advertisement sales")</f>
        <v>Regulamin sprzedaży reklamy</v>
      </c>
      <c r="E8" s="1019"/>
      <c r="F8" s="1019"/>
      <c r="G8" s="1020" t="s">
        <v>201</v>
      </c>
      <c r="H8" s="1021"/>
      <c r="I8" s="1021"/>
      <c r="J8" s="1021"/>
      <c r="K8" s="1021"/>
      <c r="L8" s="1021"/>
      <c r="M8" s="1021"/>
      <c r="N8" s="1021"/>
      <c r="O8" s="1021"/>
      <c r="P8" s="1021"/>
      <c r="Q8" s="354"/>
      <c r="R8" s="354"/>
    </row>
    <row r="9" spans="1:18">
      <c r="A9" s="12"/>
      <c r="B9" s="12"/>
      <c r="C9" s="12"/>
      <c r="D9" s="31"/>
      <c r="E9" s="31"/>
      <c r="F9" s="31"/>
      <c r="G9" s="32"/>
      <c r="H9" s="32"/>
      <c r="I9" s="32"/>
      <c r="J9" s="32"/>
      <c r="K9" s="32"/>
      <c r="L9" s="32"/>
      <c r="M9" s="32"/>
      <c r="N9" s="32"/>
      <c r="O9" s="32"/>
      <c r="P9" s="32"/>
      <c r="Q9" s="354"/>
      <c r="R9" s="354"/>
    </row>
    <row r="10" spans="1:18" ht="57" customHeight="1">
      <c r="A10" s="12"/>
      <c r="B10" s="12"/>
      <c r="C10" s="12"/>
      <c r="D10" s="1025" t="str">
        <f>IF('Język - Language'!$B$30="Polski","Specyfikacja techniczna do pobrania na serwisie Reklama.wp.pl","You can download our technical specification from reklama.wp.pl")</f>
        <v>Specyfikacja techniczna do pobrania na serwisie Reklama.wp.pl</v>
      </c>
      <c r="E10" s="1025"/>
      <c r="F10" s="1025"/>
      <c r="G10" s="1020" t="s">
        <v>201</v>
      </c>
      <c r="H10" s="1021"/>
      <c r="I10" s="1021"/>
      <c r="J10" s="1021"/>
      <c r="K10" s="1021"/>
      <c r="L10" s="1021"/>
      <c r="M10" s="1021"/>
      <c r="N10" s="1021"/>
      <c r="O10" s="1021"/>
      <c r="P10" s="32"/>
      <c r="Q10" s="354"/>
      <c r="R10" s="354"/>
    </row>
    <row r="11" spans="1:18" s="13" customFormat="1" ht="47.25" customHeight="1">
      <c r="A11" s="354"/>
      <c r="B11" s="354"/>
      <c r="C11" s="354"/>
      <c r="D11" s="354"/>
      <c r="E11" s="354"/>
      <c r="F11" s="354"/>
      <c r="G11" s="354"/>
      <c r="H11" s="354"/>
      <c r="I11" s="354"/>
      <c r="J11" s="354"/>
      <c r="K11" s="354"/>
      <c r="L11" s="354"/>
      <c r="M11" s="354"/>
      <c r="N11" s="354"/>
      <c r="O11" s="354"/>
      <c r="P11" s="354"/>
      <c r="Q11" s="354"/>
      <c r="R11" s="354"/>
    </row>
    <row r="12" spans="1:18" s="13" customFormat="1">
      <c r="A12" s="354"/>
      <c r="B12" s="354"/>
      <c r="C12" s="354"/>
      <c r="D12" s="494"/>
      <c r="E12" s="494"/>
      <c r="F12" s="494"/>
      <c r="G12" s="1026"/>
      <c r="H12" s="1026"/>
      <c r="I12" s="1026"/>
      <c r="J12" s="1026"/>
      <c r="K12" s="1026"/>
      <c r="L12" s="1026"/>
      <c r="M12" s="1026"/>
      <c r="N12" s="1026"/>
      <c r="O12" s="1026"/>
      <c r="P12" s="354"/>
      <c r="Q12" s="354"/>
      <c r="R12" s="354"/>
    </row>
    <row r="13" spans="1:18" s="13" customFormat="1">
      <c r="A13" s="354"/>
      <c r="B13" s="354"/>
      <c r="C13" s="354"/>
      <c r="D13" s="14"/>
      <c r="E13" s="14"/>
      <c r="F13" s="14"/>
      <c r="G13" s="354"/>
      <c r="H13" s="354"/>
      <c r="I13" s="354"/>
      <c r="J13" s="354"/>
      <c r="K13" s="354"/>
      <c r="L13" s="354"/>
      <c r="M13" s="354"/>
      <c r="N13" s="354"/>
      <c r="O13" s="354"/>
      <c r="P13" s="354"/>
      <c r="Q13" s="354"/>
      <c r="R13" s="354"/>
    </row>
    <row r="14" spans="1:18" s="13" customFormat="1">
      <c r="A14" s="354"/>
      <c r="B14" s="354"/>
      <c r="C14" s="354"/>
      <c r="D14" s="1027"/>
      <c r="E14" s="1027"/>
      <c r="F14" s="1027"/>
      <c r="G14" s="1026"/>
      <c r="H14" s="1026"/>
      <c r="I14" s="1026"/>
      <c r="J14" s="1026"/>
      <c r="K14" s="1026"/>
      <c r="L14" s="1026"/>
      <c r="M14" s="1026"/>
      <c r="N14" s="1026"/>
      <c r="O14" s="1026"/>
      <c r="P14" s="354"/>
      <c r="Q14" s="354"/>
      <c r="R14" s="354"/>
    </row>
    <row r="15" spans="1:18" s="13" customFormat="1">
      <c r="A15" s="354"/>
      <c r="B15" s="354"/>
      <c r="C15" s="354"/>
      <c r="D15" s="354"/>
      <c r="E15"/>
      <c r="F15" s="354"/>
      <c r="G15" s="1023"/>
      <c r="H15" s="1024"/>
      <c r="I15" s="1024"/>
      <c r="J15" s="1024"/>
      <c r="K15" s="1024"/>
      <c r="L15" s="1024"/>
      <c r="M15" s="1024"/>
      <c r="N15" s="1024"/>
      <c r="O15" s="1024"/>
      <c r="P15" s="354"/>
      <c r="Q15" s="354"/>
      <c r="R15" s="354"/>
    </row>
    <row r="16" spans="1:18" s="13" customFormat="1">
      <c r="A16" s="354"/>
      <c r="B16" s="354"/>
      <c r="C16" s="354"/>
      <c r="D16" s="354"/>
      <c r="E16" s="354"/>
      <c r="F16" s="354"/>
      <c r="G16" s="354"/>
      <c r="H16" s="354"/>
      <c r="I16" s="354"/>
      <c r="J16" s="354"/>
      <c r="K16" s="354"/>
      <c r="L16" s="354"/>
      <c r="M16" s="354"/>
      <c r="N16" s="354"/>
      <c r="O16" s="354"/>
      <c r="P16" s="354"/>
      <c r="Q16" s="354"/>
      <c r="R16" s="354"/>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sheetData>
  <mergeCells count="9">
    <mergeCell ref="D8:F8"/>
    <mergeCell ref="G8:P8"/>
    <mergeCell ref="J2:M4"/>
    <mergeCell ref="G15:O15"/>
    <mergeCell ref="D10:F10"/>
    <mergeCell ref="G10:O10"/>
    <mergeCell ref="G12:O12"/>
    <mergeCell ref="D14:F14"/>
    <mergeCell ref="G14:O14"/>
  </mergeCells>
  <hyperlinks>
    <hyperlink ref="G10" r:id="rId1"/>
    <hyperlink ref="G8"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R108"/>
  <sheetViews>
    <sheetView zoomScaleNormal="100" workbookViewId="0">
      <pane ySplit="4" topLeftCell="A5" activePane="bottomLeft" state="frozen"/>
      <selection pane="bottomLeft"/>
    </sheetView>
  </sheetViews>
  <sheetFormatPr defaultColWidth="28.85546875" defaultRowHeight="12.75"/>
  <cols>
    <col min="1" max="1" width="2.85546875" style="2" customWidth="1"/>
    <col min="2" max="2" width="4.85546875" style="2" customWidth="1"/>
    <col min="3" max="3" width="18.5703125" style="2" customWidth="1"/>
    <col min="4" max="4" width="18.5703125" style="283" customWidth="1"/>
    <col min="5" max="5" width="18.5703125" style="134" customWidth="1"/>
    <col min="6" max="6" width="18.5703125" style="2" customWidth="1"/>
    <col min="7" max="7" width="18.5703125" style="283" customWidth="1"/>
    <col min="8" max="8" width="18.5703125" style="134" customWidth="1"/>
    <col min="9" max="10" width="18.5703125" style="2" customWidth="1"/>
    <col min="11" max="12" width="16.42578125" style="2" customWidth="1"/>
    <col min="13" max="13" width="14.5703125" style="2" customWidth="1"/>
    <col min="14" max="16384" width="28.85546875" style="2"/>
  </cols>
  <sheetData>
    <row r="1" spans="1:13" ht="12.75" customHeight="1">
      <c r="A1"/>
      <c r="B1" s="353"/>
      <c r="C1" s="353"/>
      <c r="D1" s="353"/>
      <c r="E1" s="353"/>
      <c r="F1" s="353"/>
      <c r="G1" s="523"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H1" s="523"/>
      <c r="I1" s="523"/>
      <c r="J1" s="523"/>
      <c r="K1" s="355"/>
      <c r="L1" s="353"/>
      <c r="M1" s="353"/>
    </row>
    <row r="2" spans="1:13" ht="12.75" customHeight="1">
      <c r="A2" s="353"/>
      <c r="B2" s="353"/>
      <c r="C2" s="355"/>
      <c r="D2" s="355"/>
      <c r="E2" s="355"/>
      <c r="F2" s="355"/>
      <c r="G2" s="523"/>
      <c r="H2" s="523"/>
      <c r="I2" s="523"/>
      <c r="J2" s="523"/>
      <c r="K2" s="355"/>
      <c r="L2" s="353"/>
      <c r="M2" s="353"/>
    </row>
    <row r="3" spans="1:13" ht="12.75" customHeight="1">
      <c r="A3" s="353"/>
      <c r="B3" s="353"/>
      <c r="C3" s="355"/>
      <c r="D3" s="355"/>
      <c r="E3" s="355"/>
      <c r="F3" s="355"/>
      <c r="G3" s="523"/>
      <c r="H3" s="523"/>
      <c r="I3" s="523"/>
      <c r="J3" s="523"/>
      <c r="K3" s="355"/>
      <c r="L3" s="353"/>
      <c r="M3" s="353"/>
    </row>
    <row r="4" spans="1:13" s="35" customFormat="1" ht="12.75" customHeight="1">
      <c r="A4" s="356"/>
      <c r="B4" s="36"/>
      <c r="C4" s="36" t="str">
        <f>IF('Język - Language'!$B$30="Polski","         Reklama na wielu ekranach","         Multiscreen. Cross-Device")</f>
        <v xml:space="preserve">         Reklama na wielu ekranach</v>
      </c>
      <c r="D4" s="36"/>
      <c r="E4" s="36"/>
      <c r="F4" s="356"/>
      <c r="G4" s="356"/>
      <c r="H4" s="356"/>
      <c r="I4" s="356"/>
      <c r="J4" s="340" t="str">
        <f>IF('Język - Language'!$B$30="Polski","PL","EN")</f>
        <v>PL</v>
      </c>
      <c r="K4" s="356"/>
      <c r="L4" s="356"/>
      <c r="M4" s="356"/>
    </row>
    <row r="5" spans="1:13" ht="12.75" customHeight="1">
      <c r="A5" s="353"/>
      <c r="B5" s="353"/>
      <c r="C5" s="353"/>
      <c r="D5" s="353"/>
      <c r="E5" s="353"/>
      <c r="F5" s="353"/>
      <c r="G5" s="353"/>
      <c r="H5" s="353"/>
      <c r="I5" s="353"/>
      <c r="J5" s="353"/>
      <c r="K5" s="353"/>
      <c r="L5" s="353"/>
      <c r="M5" s="353"/>
    </row>
    <row r="6" spans="1:13" s="59" customFormat="1" ht="12.75" customHeight="1">
      <c r="A6" s="353"/>
      <c r="B6" s="353"/>
      <c r="C6" s="353"/>
      <c r="D6" s="353"/>
      <c r="E6" s="353"/>
      <c r="F6" s="353"/>
      <c r="G6" s="353"/>
      <c r="H6" s="353"/>
      <c r="I6" s="353"/>
      <c r="J6" s="353"/>
      <c r="K6" s="353"/>
      <c r="L6" s="353"/>
      <c r="M6" s="353"/>
    </row>
    <row r="7" spans="1:13" s="58" customFormat="1" ht="12.75" customHeight="1">
      <c r="A7" s="341"/>
      <c r="B7" s="341"/>
      <c r="C7" s="648" t="str">
        <f>IF('Język - Language'!$B$30="Polski","        WP STRONA GŁÓWNA (DESKTOP/TABLET)","        WP HOME PAGE (DESKTOP/TABLET)")</f>
        <v xml:space="preserve">        WP STRONA GŁÓWNA (DESKTOP/TABLET)</v>
      </c>
      <c r="D7" s="648"/>
      <c r="E7" s="648"/>
      <c r="F7" s="648" t="str">
        <f>IF('Język - Language'!$B$30="Polski","WP STRONA GŁÓWNA (MOBILE¹)","WP HOME PAGE (MOBILE¹)")</f>
        <v>WP STRONA GŁÓWNA (MOBILE¹)</v>
      </c>
      <c r="G7" s="648"/>
      <c r="H7" s="648"/>
      <c r="I7" s="648" t="str">
        <f>IF('Język - Language'!$B$30="Polski","CENA RC","PRICE")</f>
        <v>CENA RC</v>
      </c>
      <c r="J7" s="655"/>
      <c r="K7" s="353"/>
      <c r="L7" s="353"/>
      <c r="M7" s="353"/>
    </row>
    <row r="8" spans="1:13" s="58" customFormat="1" ht="12.75" customHeight="1">
      <c r="A8"/>
      <c r="B8" s="341"/>
      <c r="C8" s="649"/>
      <c r="D8" s="649"/>
      <c r="E8" s="649"/>
      <c r="F8" s="649"/>
      <c r="G8" s="649"/>
      <c r="H8" s="649"/>
      <c r="I8" s="442" t="str">
        <f>IF('Język - Language'!$B$30="Polski","styczeń-październik","Jan-Oct")</f>
        <v>styczeń-październik</v>
      </c>
      <c r="J8" s="285" t="str">
        <f>IF('Język - Language'!$B$30="Polski","listopad-grudzień","Nov-Dec")</f>
        <v>listopad-grudzień</v>
      </c>
      <c r="K8" s="341"/>
      <c r="L8" s="341"/>
      <c r="M8" s="341"/>
    </row>
    <row r="9" spans="1:13" s="82" customFormat="1" ht="25.5" customHeight="1">
      <c r="A9" s="353"/>
      <c r="B9" s="34"/>
      <c r="C9" s="560" t="str">
        <f>IF('Język - Language'!$B$30="Polski","Panel Premium FF","Panel Premium FF")</f>
        <v>Panel Premium FF</v>
      </c>
      <c r="D9" s="647"/>
      <c r="E9" s="561"/>
      <c r="F9" s="666" t="str">
        <f>IF('Język - Language'!$B$30="Polski","nd","n/a")</f>
        <v>nd</v>
      </c>
      <c r="G9" s="667"/>
      <c r="H9" s="668"/>
      <c r="I9" s="183">
        <v>385000</v>
      </c>
      <c r="J9" s="184">
        <v>450000</v>
      </c>
      <c r="K9" s="341"/>
      <c r="L9" s="341"/>
      <c r="M9" s="341"/>
    </row>
    <row r="10" spans="1:13" s="353" customFormat="1" ht="25.5" customHeight="1">
      <c r="B10" s="34"/>
      <c r="C10" s="652" t="s">
        <v>203</v>
      </c>
      <c r="D10" s="653"/>
      <c r="E10" s="654"/>
      <c r="F10" s="566" t="s">
        <v>203</v>
      </c>
      <c r="G10" s="567"/>
      <c r="H10" s="568"/>
      <c r="I10" s="507">
        <v>380000</v>
      </c>
      <c r="J10" s="506">
        <v>450000</v>
      </c>
      <c r="K10" s="341"/>
      <c r="L10" s="341"/>
      <c r="M10" s="341"/>
    </row>
    <row r="11" spans="1:13" s="353" customFormat="1" ht="25.5" customHeight="1">
      <c r="B11" s="34"/>
      <c r="C11" s="583"/>
      <c r="D11" s="584"/>
      <c r="E11" s="585"/>
      <c r="F11" s="566" t="str">
        <f>IF('Język - Language'!$B$30="Polski","nd","n/a")</f>
        <v>nd</v>
      </c>
      <c r="G11" s="567"/>
      <c r="H11" s="568"/>
      <c r="I11" s="507">
        <v>270000</v>
      </c>
      <c r="J11" s="506">
        <v>320000</v>
      </c>
      <c r="K11" s="341"/>
      <c r="L11" s="341"/>
      <c r="M11" s="341"/>
    </row>
    <row r="12" spans="1:13" s="58" customFormat="1" ht="25.5" customHeight="1">
      <c r="A12" s="353"/>
      <c r="B12" s="572" t="s">
        <v>5</v>
      </c>
      <c r="C12" s="540" t="str">
        <f>IF('Język - Language'!$B$30="Polski","Double Billboard lub Wideboard 3/uu","Double Billboard or Wideboard 3/uu")</f>
        <v>Double Billboard lub Wideboard 3/uu</v>
      </c>
      <c r="D12" s="541"/>
      <c r="E12" s="546"/>
      <c r="F12" s="566" t="str">
        <f>IF('Język - Language'!$B$30="Polski","Banner górny 3/uu","Upper Banner 3/uu")</f>
        <v>Banner górny 3/uu</v>
      </c>
      <c r="G12" s="567"/>
      <c r="H12" s="568"/>
      <c r="I12" s="447">
        <v>570000</v>
      </c>
      <c r="J12" s="185">
        <v>680000</v>
      </c>
      <c r="K12" s="341"/>
      <c r="L12" s="341"/>
      <c r="M12" s="341"/>
    </row>
    <row r="13" spans="1:13" s="120" customFormat="1" ht="25.5" customHeight="1">
      <c r="A13" s="353"/>
      <c r="B13" s="572"/>
      <c r="C13" s="540" t="str">
        <f>IF('Język - Language'!$B$30="Polski","Gigaboard 1/uu + Mega Double Billboard 2/uu","Gigaboard 1/uu + Mega Double Billboard 2/uu")</f>
        <v>Gigaboard 1/uu + Mega Double Billboard 2/uu</v>
      </c>
      <c r="D13" s="541"/>
      <c r="E13" s="546"/>
      <c r="F13" s="566" t="str">
        <f>IF('Język - Language'!$B$30="Polski","Banner skalowany XL 1/uu + Banner skalowany 2/uu","Adjusted Banner XL 1/uu + Adjusted Banner 2/uu")</f>
        <v>Banner skalowany XL 1/uu + Banner skalowany 2/uu</v>
      </c>
      <c r="G13" s="567"/>
      <c r="H13" s="568"/>
      <c r="I13" s="447">
        <v>770000</v>
      </c>
      <c r="J13" s="185">
        <v>925000</v>
      </c>
      <c r="K13" s="341"/>
      <c r="L13" s="341"/>
      <c r="M13" s="341"/>
    </row>
    <row r="14" spans="1:13" s="96" customFormat="1" ht="25.5" customHeight="1">
      <c r="A14" s="353"/>
      <c r="B14" s="572"/>
      <c r="C14" s="540" t="str">
        <f>IF('Język - Language'!$B$30="Polski","Screening 1/uu + DBB lub Wideboard 3/uu (tablet: tylko górny format)","Screening 1/uu + DBB or Wideboard 3/uu (tablet:only upper banner)")</f>
        <v>Screening 1/uu + DBB lub Wideboard 3/uu (tablet: tylko górny format)</v>
      </c>
      <c r="D14" s="541"/>
      <c r="E14" s="546"/>
      <c r="F14" s="566" t="str">
        <f>IF('Język - Language'!$B$30="Polski","Screening lub Banner slakowany 1/uu + Banner górny 3/uu ","Screening or Adjusted Banner 1/uu + Upper Banner 3/uu ")</f>
        <v xml:space="preserve">Screening lub Banner slakowany 1/uu + Banner górny 3/uu </v>
      </c>
      <c r="G14" s="567"/>
      <c r="H14" s="568"/>
      <c r="I14" s="447">
        <v>630000</v>
      </c>
      <c r="J14" s="185">
        <v>750000</v>
      </c>
      <c r="K14" s="341"/>
      <c r="L14" s="341"/>
      <c r="M14" s="341"/>
    </row>
    <row r="15" spans="1:13" s="96" customFormat="1" ht="25.5" customHeight="1">
      <c r="A15" s="353"/>
      <c r="B15" s="572"/>
      <c r="C15" s="652" t="str">
        <f>IF('Język - Language'!$B$30="Polski","Screening 3/uu + DBB lub Wideboard 3/uu (tablet: tylko górny format)","Screening 3/uu + DBB lub Wideboard 3/uu (tablet:only upper banner)")</f>
        <v>Screening 3/uu + DBB lub Wideboard 3/uu (tablet: tylko górny format)</v>
      </c>
      <c r="D15" s="653"/>
      <c r="E15" s="654"/>
      <c r="F15" s="609" t="str">
        <f>IF('Język - Language'!$B$30="Polski","Screening 3/uu","Screening 3/uu")</f>
        <v>Screening 3/uu</v>
      </c>
      <c r="G15" s="610"/>
      <c r="H15" s="611"/>
      <c r="I15" s="631">
        <v>700000</v>
      </c>
      <c r="J15" s="650">
        <v>840000</v>
      </c>
      <c r="K15" s="341"/>
      <c r="L15" s="341"/>
      <c r="M15" s="341"/>
    </row>
    <row r="16" spans="1:13" s="58" customFormat="1" ht="25.5" customHeight="1">
      <c r="A16" s="353"/>
      <c r="B16" s="572"/>
      <c r="C16" s="583" t="str">
        <f>IF('Język - Language'!$B$30="Polski","VideoBackLayer 1/uu + DBB lub Wideboard 3/uu","VideoBackLayer 1/uu + DBB lub Wideboard 3/uu")</f>
        <v>VideoBackLayer 1/uu + DBB lub Wideboard 3/uu</v>
      </c>
      <c r="D16" s="584"/>
      <c r="E16" s="585"/>
      <c r="F16" s="612"/>
      <c r="G16" s="613"/>
      <c r="H16" s="614"/>
      <c r="I16" s="632"/>
      <c r="J16" s="651"/>
      <c r="K16" s="341"/>
      <c r="L16" s="341"/>
      <c r="M16" s="341"/>
    </row>
    <row r="17" spans="1:13" s="131" customFormat="1" ht="25.5" customHeight="1">
      <c r="A17" s="353"/>
      <c r="B17" s="572"/>
      <c r="C17" s="540" t="str">
        <f>IF('Język - Language'!$B$30="Polski","Welcome Screen 1/uu + DBB lub Wideboard 3/uu","Welcome Screen 1/uu + DBB lub Wideboard 3/uu")</f>
        <v>Welcome Screen 1/uu + DBB lub Wideboard 3/uu</v>
      </c>
      <c r="D17" s="541"/>
      <c r="E17" s="546"/>
      <c r="F17" s="566" t="str">
        <f>IF('Język - Language'!$B$30="Polski","Banner skalowany XL 1/uu + Banner skalowany 2/uu","Adjusted Banner XL 1/uu + Adjusted Banner 2/uu")</f>
        <v>Banner skalowany XL 1/uu + Banner skalowany 2/uu</v>
      </c>
      <c r="G17" s="567"/>
      <c r="H17" s="568"/>
      <c r="I17" s="447">
        <v>700000</v>
      </c>
      <c r="J17" s="185">
        <v>840000</v>
      </c>
      <c r="K17" s="341"/>
      <c r="L17" s="341"/>
      <c r="M17" s="341"/>
    </row>
    <row r="18" spans="1:13" s="96" customFormat="1" ht="25.5" customHeight="1">
      <c r="A18" s="353"/>
      <c r="B18" s="572"/>
      <c r="C18" s="540" t="str">
        <f>IF('Język - Language'!$B$30="Polski","Welcome Screen XL 1/uu + DBB lub Wideboard 3/uu","Welcome Screen XL 1/uu + DBB lub Wideboard 3/uu")</f>
        <v>Welcome Screen XL 1/uu + DBB lub Wideboard 3/uu</v>
      </c>
      <c r="D18" s="541"/>
      <c r="E18" s="546"/>
      <c r="F18" s="540" t="str">
        <f>IF('Język - Language'!$B$30="Polski","Banner skalowany XL 1/uu + Banner skalowany 2/uu","Adjusted Banner XL 1/uu + Adjusted Banner 2/uu")</f>
        <v>Banner skalowany XL 1/uu + Banner skalowany 2/uu</v>
      </c>
      <c r="G18" s="541"/>
      <c r="H18" s="546"/>
      <c r="I18" s="447">
        <v>770000</v>
      </c>
      <c r="J18" s="185">
        <v>930000</v>
      </c>
      <c r="K18" s="341"/>
      <c r="L18" s="341"/>
      <c r="M18" s="341"/>
    </row>
    <row r="19" spans="1:13" s="124" customFormat="1" ht="25.5" customHeight="1">
      <c r="B19" s="573"/>
      <c r="C19" s="574"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19" s="575"/>
      <c r="E19" s="575"/>
      <c r="F19" s="575"/>
      <c r="G19" s="575"/>
      <c r="H19" s="575"/>
      <c r="I19" s="575"/>
      <c r="J19" s="576"/>
      <c r="K19" s="341"/>
      <c r="L19" s="341"/>
      <c r="M19" s="341"/>
    </row>
    <row r="20" spans="1:13" s="120" customFormat="1" ht="25.5" customHeight="1">
      <c r="B20" s="615" t="s">
        <v>6</v>
      </c>
      <c r="C20" s="540" t="str">
        <f>IF('Język - Language'!$B$30="Polski","Double Billboard lub Wideboard FF","Double Billboard lub Wideboard FF")</f>
        <v>Double Billboard lub Wideboard FF</v>
      </c>
      <c r="D20" s="541"/>
      <c r="E20" s="546"/>
      <c r="F20" s="540" t="str">
        <f>IF('Język - Language'!$B$30="Polski","Banner górny FF","Upper Banner FF")</f>
        <v>Banner górny FF</v>
      </c>
      <c r="G20" s="541"/>
      <c r="H20" s="546"/>
      <c r="I20" s="447">
        <v>315000</v>
      </c>
      <c r="J20" s="185">
        <v>375000</v>
      </c>
      <c r="K20" s="341"/>
      <c r="L20" s="341"/>
      <c r="M20" s="341"/>
    </row>
    <row r="21" spans="1:13" s="120" customFormat="1" ht="25.5" customHeight="1">
      <c r="B21" s="616"/>
      <c r="C21" s="540" t="str">
        <f>IF('Język - Language'!$B$30="Polski","Gigaboard 1/uu + Mega Double Billboard FF","Gigaboard 1/uu + Mega Double Billboard FF")</f>
        <v>Gigaboard 1/uu + Mega Double Billboard FF</v>
      </c>
      <c r="D21" s="541"/>
      <c r="E21" s="546"/>
      <c r="F21" s="540" t="str">
        <f>IF('Język - Language'!$B$30="Polski","Banner skalowany XL FF","Adjusted Banner XL FF")</f>
        <v>Banner skalowany XL FF</v>
      </c>
      <c r="G21" s="541"/>
      <c r="H21" s="546"/>
      <c r="I21" s="447">
        <v>440000</v>
      </c>
      <c r="J21" s="185">
        <v>530000</v>
      </c>
      <c r="K21" s="341"/>
      <c r="L21" s="341"/>
      <c r="M21" s="341"/>
    </row>
    <row r="22" spans="1:13" s="96" customFormat="1" ht="25.5" customHeight="1">
      <c r="B22" s="616"/>
      <c r="C22" s="540" t="str">
        <f>IF('Język - Language'!$B$30="Polski","Welcome Screen 1/uu + DBB lub Wideboard FF","Welcome Screen 1/uu + DBB lub Wideboard FF")</f>
        <v>Welcome Screen 1/uu + DBB lub Wideboard FF</v>
      </c>
      <c r="D22" s="541"/>
      <c r="E22" s="546"/>
      <c r="F22" s="540" t="str">
        <f>IF('Język - Language'!$B$30="Polski","Banner skalowany XL FF","Adjusted Banner XL FF")</f>
        <v>Banner skalowany XL FF</v>
      </c>
      <c r="G22" s="541"/>
      <c r="H22" s="546"/>
      <c r="I22" s="447">
        <v>415000</v>
      </c>
      <c r="J22" s="185">
        <v>495000</v>
      </c>
      <c r="K22" s="341"/>
      <c r="L22" s="341"/>
      <c r="M22" s="341"/>
    </row>
    <row r="23" spans="1:13" s="58" customFormat="1" ht="25.5" customHeight="1">
      <c r="B23" s="617"/>
      <c r="C23" s="574"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3" s="575"/>
      <c r="E23" s="575"/>
      <c r="F23" s="575"/>
      <c r="G23" s="575"/>
      <c r="H23" s="575"/>
      <c r="I23" s="575"/>
      <c r="J23" s="576"/>
      <c r="K23" s="341"/>
      <c r="L23" s="341"/>
      <c r="M23" s="341"/>
    </row>
    <row r="24" spans="1:13" s="58" customFormat="1" ht="12.75" customHeight="1">
      <c r="B24" s="598" t="s">
        <v>7</v>
      </c>
      <c r="C24" s="540" t="str">
        <f>IF('Język - Language'!$B$30="Polski","WP Box w module Wiadomości FF","WP Box in the News category FF")</f>
        <v>WP Box w module Wiadomości FF</v>
      </c>
      <c r="D24" s="541"/>
      <c r="E24" s="546"/>
      <c r="F24" s="566" t="str">
        <f>IF('Język - Language'!$B$30="Polski","nd","n/a")</f>
        <v>nd</v>
      </c>
      <c r="G24" s="567"/>
      <c r="H24" s="568"/>
      <c r="I24" s="447">
        <v>130000</v>
      </c>
      <c r="J24" s="185">
        <v>155000</v>
      </c>
      <c r="K24" s="341"/>
      <c r="L24" s="341"/>
      <c r="M24" s="341"/>
    </row>
    <row r="25" spans="1:13" s="58" customFormat="1" ht="12.75" customHeight="1">
      <c r="B25" s="599"/>
      <c r="C25" s="540" t="str">
        <f>IF('Język - Language'!$B$30="Polski","WP Box w module Sport FF","WP Box in the Sport category FF")</f>
        <v>WP Box w module Sport FF</v>
      </c>
      <c r="D25" s="541"/>
      <c r="E25" s="546"/>
      <c r="F25" s="566" t="str">
        <f>IF('Język - Language'!$B$30="Polski","nd","n/a")</f>
        <v>nd</v>
      </c>
      <c r="G25" s="567"/>
      <c r="H25" s="568"/>
      <c r="I25" s="447">
        <v>90000</v>
      </c>
      <c r="J25" s="185">
        <v>105000</v>
      </c>
      <c r="K25" s="341"/>
      <c r="L25" s="341"/>
      <c r="M25" s="341"/>
    </row>
    <row r="26" spans="1:13" s="58" customFormat="1" ht="12.75" customHeight="1">
      <c r="B26" s="599"/>
      <c r="C26" s="540" t="str">
        <f>IF('Język - Language'!$B$30="Polski","WP Box w module Biznes FF","WP Box in the Business category FF")</f>
        <v>WP Box w module Biznes FF</v>
      </c>
      <c r="D26" s="541"/>
      <c r="E26" s="546"/>
      <c r="F26" s="566" t="str">
        <f>IF('Język - Language'!$B$30="Polski","nd","n/a")</f>
        <v>nd</v>
      </c>
      <c r="G26" s="567"/>
      <c r="H26" s="568"/>
      <c r="I26" s="447">
        <v>63000</v>
      </c>
      <c r="J26" s="185">
        <v>72000</v>
      </c>
      <c r="K26" s="341"/>
      <c r="L26" s="341"/>
      <c r="M26" s="341"/>
    </row>
    <row r="27" spans="1:13" s="283" customFormat="1" ht="12.75" customHeight="1">
      <c r="B27" s="599"/>
      <c r="C27" s="540" t="s">
        <v>204</v>
      </c>
      <c r="D27" s="541"/>
      <c r="E27" s="546"/>
      <c r="F27" s="566" t="s">
        <v>8</v>
      </c>
      <c r="G27" s="567"/>
      <c r="H27" s="568"/>
      <c r="I27" s="447">
        <v>190000</v>
      </c>
      <c r="J27" s="185">
        <v>225000</v>
      </c>
      <c r="K27" s="341"/>
      <c r="L27" s="341"/>
      <c r="M27" s="341"/>
    </row>
    <row r="28" spans="1:13" s="58" customFormat="1" ht="12.75" customHeight="1">
      <c r="B28" s="599"/>
      <c r="C28" s="540" t="str">
        <f>IF('Język - Language'!$B$30="Polski","Content Box XL (nad modułem Sport) FF","Content Box XL (above the category Sport) FF")</f>
        <v>Content Box XL (nad modułem Sport) FF</v>
      </c>
      <c r="D28" s="541"/>
      <c r="E28" s="546"/>
      <c r="F28" s="586" t="str">
        <f>IF('Język - Language'!$B$30="Polski","Content Box XL (Rectangle/Banner skalowany XL) w module Sport FF","Content Box XL (Rectangle/Adjusted Banner XL) above the category Sport FF")</f>
        <v>Content Box XL (Rectangle/Banner skalowany XL) w module Sport FF</v>
      </c>
      <c r="G28" s="587"/>
      <c r="H28" s="588"/>
      <c r="I28" s="447">
        <v>420000</v>
      </c>
      <c r="J28" s="185">
        <v>480000</v>
      </c>
      <c r="K28" s="341"/>
      <c r="L28" s="341"/>
      <c r="M28" s="341"/>
    </row>
    <row r="29" spans="1:13" s="58" customFormat="1" ht="12.75" customHeight="1">
      <c r="B29" s="599"/>
      <c r="C29" s="540" t="str">
        <f>IF('Język - Language'!$B$30="Polski","Content Box nad modułem Biznes FF²","Content Box above the category Business FF²")</f>
        <v>Content Box nad modułem Biznes FF²</v>
      </c>
      <c r="D29" s="541"/>
      <c r="E29" s="546"/>
      <c r="F29" s="606" t="str">
        <f>IF('Język - Language'!$B$30="Polski","Content Box (Banner/Banner skalowany) w module Biznes FF","Content Box (Banner/adjusted banner) above the category Business FF")</f>
        <v>Content Box (Banner/Banner skalowany) w module Biznes FF</v>
      </c>
      <c r="G29" s="607"/>
      <c r="H29" s="608"/>
      <c r="I29" s="447">
        <v>200000</v>
      </c>
      <c r="J29" s="185">
        <v>240000</v>
      </c>
      <c r="K29" s="341"/>
      <c r="L29" s="341"/>
      <c r="M29" s="341"/>
    </row>
    <row r="30" spans="1:13" s="58" customFormat="1" ht="12.75" customHeight="1">
      <c r="B30" s="599"/>
      <c r="C30" s="540" t="str">
        <f>IF('Język - Language'!$B$30="Polski","Content Box nad modułem Gwiazdy FF²","Content Box above the category Stars FF²")</f>
        <v>Content Box nad modułem Gwiazdy FF²</v>
      </c>
      <c r="D30" s="541"/>
      <c r="E30" s="546"/>
      <c r="F30" s="606" t="str">
        <f>IF('Język - Language'!$B$30="Polski","Content Box (Banner/Banner skalowany) nad modułem Gwiazdy FF","Content Box (Banner/adjusted banner) above the category Stars FF")</f>
        <v>Content Box (Banner/Banner skalowany) nad modułem Gwiazdy FF</v>
      </c>
      <c r="G30" s="607"/>
      <c r="H30" s="608"/>
      <c r="I30" s="447">
        <v>170000</v>
      </c>
      <c r="J30" s="185">
        <v>200000</v>
      </c>
      <c r="K30" s="341"/>
      <c r="L30" s="341"/>
      <c r="M30" s="341"/>
    </row>
    <row r="31" spans="1:13" s="58" customFormat="1" ht="12.75" customHeight="1">
      <c r="B31" s="599"/>
      <c r="C31" s="540" t="str">
        <f>IF('Język - Language'!$B$30="Polski","Content Box nad modułem Moto&amp;Tech&amp;Gry FF²","Content Box above the category Moto&amp;Tech FF²")</f>
        <v>Content Box nad modułem Moto&amp;Tech&amp;Gry FF²</v>
      </c>
      <c r="D31" s="541"/>
      <c r="E31" s="546"/>
      <c r="F31" s="606" t="str">
        <f>IF('Język - Language'!$B$30="Polski","Content Box (Banner/Banner skalowany) nad modułem Moto&amp;Tech FF","Content Box (Banner/adjusted banner) above the category Moto&amp;Tech FF")</f>
        <v>Content Box (Banner/Banner skalowany) nad modułem Moto&amp;Tech FF</v>
      </c>
      <c r="G31" s="607"/>
      <c r="H31" s="608"/>
      <c r="I31" s="447">
        <v>145000</v>
      </c>
      <c r="J31" s="185">
        <v>170000</v>
      </c>
      <c r="K31" s="341"/>
      <c r="L31" s="341"/>
      <c r="M31" s="341"/>
    </row>
    <row r="32" spans="1:13" s="58" customFormat="1" ht="12.75" customHeight="1">
      <c r="B32" s="599"/>
      <c r="C32" s="540" t="str">
        <f>IF('Język - Language'!$B$30="Polski","Content Box nad modułem Styl Życia FF²","Content Box above the category Lifestyle FF²")</f>
        <v>Content Box nad modułem Styl Życia FF²</v>
      </c>
      <c r="D32" s="541"/>
      <c r="E32" s="546"/>
      <c r="F32" s="606" t="str">
        <f>IF('Język - Language'!$B$30="Polski","Content Box (Banner/Banner skalowany) nad modułem Styl Życia FF","Content Box (Banner/adjusted banner) above the category Lifestyle FF")</f>
        <v>Content Box (Banner/Banner skalowany) nad modułem Styl Życia FF</v>
      </c>
      <c r="G32" s="607"/>
      <c r="H32" s="608"/>
      <c r="I32" s="447">
        <v>145000</v>
      </c>
      <c r="J32" s="185">
        <v>170000</v>
      </c>
      <c r="K32" s="341"/>
      <c r="L32" s="341"/>
      <c r="M32" s="341"/>
    </row>
    <row r="33" spans="2:13" s="159" customFormat="1" ht="12.75" customHeight="1">
      <c r="B33" s="600"/>
      <c r="C33" s="540" t="str">
        <f>IF('Język - Language'!$B$30="Polski","Belka reklamowa FF²","Advertising bar FF²")</f>
        <v>Belka reklamowa FF²</v>
      </c>
      <c r="D33" s="541"/>
      <c r="E33" s="546"/>
      <c r="F33" s="566" t="s">
        <v>8</v>
      </c>
      <c r="G33" s="567"/>
      <c r="H33" s="568"/>
      <c r="I33" s="645">
        <v>135000</v>
      </c>
      <c r="J33" s="646"/>
      <c r="K33" s="341"/>
      <c r="L33" s="341"/>
      <c r="M33" s="341"/>
    </row>
    <row r="34" spans="2:13" s="58" customFormat="1" ht="12.75" customHeight="1">
      <c r="B34" s="601" t="s">
        <v>9</v>
      </c>
      <c r="C34" s="540" t="str">
        <f>IF('Język - Language'!$B$30="Polski","Link txt w module Wiadomości (kierujący na zewnątrz) FF","Textual link in the News category (directs outside WP) FF")</f>
        <v>Link txt w module Wiadomości (kierujący na zewnątrz) FF</v>
      </c>
      <c r="D34" s="541"/>
      <c r="E34" s="546"/>
      <c r="F34" s="540" t="str">
        <f>IF('Język - Language'!$B$30="Polski","Link tekstowo-graficzny w module Wiadomości (kierujący na zewnątrz) FF ","Textual-graphic link in the News category (directs outside WP) FF")</f>
        <v xml:space="preserve">Link tekstowo-graficzny w module Wiadomości (kierujący na zewnątrz) FF </v>
      </c>
      <c r="G34" s="541"/>
      <c r="H34" s="546"/>
      <c r="I34" s="645">
        <v>58000</v>
      </c>
      <c r="J34" s="646"/>
      <c r="K34" s="341"/>
      <c r="L34" s="341"/>
      <c r="M34" s="341"/>
    </row>
    <row r="35" spans="2:13" s="58" customFormat="1" ht="12.75" customHeight="1">
      <c r="B35" s="602"/>
      <c r="C35" s="540" t="str">
        <f>IF('Język - Language'!$B$30="Polski","Link txt w module Sport (kierujący na zewnątrz) FF ","Textual link in the Sport category (directs outside WP) FF")</f>
        <v xml:space="preserve">Link txt w module Sport (kierujący na zewnątrz) FF </v>
      </c>
      <c r="D35" s="541"/>
      <c r="E35" s="546"/>
      <c r="F35" s="540" t="str">
        <f>IF('Język - Language'!$B$30="Polski","Link tekstowo-graficzny w module Sport (kierujący na zewnątrz) FF","Textual-graphic link in the Sport category (directs outside WP) FF")</f>
        <v>Link tekstowo-graficzny w module Sport (kierujący na zewnątrz) FF</v>
      </c>
      <c r="G35" s="541"/>
      <c r="H35" s="546"/>
      <c r="I35" s="645">
        <v>50000</v>
      </c>
      <c r="J35" s="646"/>
      <c r="K35" s="341"/>
      <c r="L35" s="341"/>
      <c r="M35" s="341"/>
    </row>
    <row r="36" spans="2:13" s="89" customFormat="1" ht="12.75" customHeight="1">
      <c r="B36" s="602"/>
      <c r="C36" s="547" t="str">
        <f>IF('Język - Language'!$B$30="Polski","Link txt w module Biznes (kierujący na zewnątrz) FF ","Textual link in the Business category (directs outside WP) FF")</f>
        <v xml:space="preserve">Link txt w module Biznes (kierujący na zewnątrz) FF </v>
      </c>
      <c r="D36" s="548"/>
      <c r="E36" s="549"/>
      <c r="F36" s="547" t="str">
        <f>IF('Język - Language'!$B$30="Polski","Link tekstowo-graficzny w module Biznes (kierujący na zewnątrz) FF","Textual-graphic link in the Business category (directs outside WP) FF")</f>
        <v>Link tekstowo-graficzny w module Biznes (kierujący na zewnątrz) FF</v>
      </c>
      <c r="G36" s="548"/>
      <c r="H36" s="549"/>
      <c r="I36" s="634">
        <v>33000</v>
      </c>
      <c r="J36" s="635"/>
      <c r="K36" s="341"/>
      <c r="L36" s="341"/>
      <c r="M36" s="341"/>
    </row>
    <row r="37" spans="2:13" s="157" customFormat="1" ht="12.75" customHeight="1">
      <c r="B37" s="158"/>
      <c r="C37" s="162"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37" s="162"/>
      <c r="E37" s="163"/>
      <c r="F37" s="164"/>
      <c r="G37" s="164"/>
      <c r="H37" s="164"/>
      <c r="I37" s="165"/>
      <c r="J37" s="171"/>
      <c r="K37" s="341"/>
      <c r="L37" s="341"/>
      <c r="M37" s="341"/>
    </row>
    <row r="38" spans="2:13" s="58" customFormat="1" ht="12.75" customHeight="1">
      <c r="B38" s="353"/>
      <c r="C38" s="166" t="str">
        <f>IF('Język - Language'!$B$30="Polski","² Content Box XL +75%","² Content Box XL +75%")</f>
        <v>² Content Box XL +75%</v>
      </c>
      <c r="D38" s="166"/>
      <c r="E38" s="162"/>
      <c r="F38" s="168"/>
      <c r="G38" s="168"/>
      <c r="H38" s="168"/>
      <c r="I38" s="168"/>
      <c r="J38" s="172"/>
      <c r="K38" s="353"/>
      <c r="L38" s="353"/>
      <c r="M38" s="353"/>
    </row>
    <row r="39" spans="2:13" s="96" customFormat="1" ht="12.75" customHeight="1">
      <c r="B39" s="353"/>
      <c r="C39" s="353"/>
      <c r="D39" s="353"/>
      <c r="E39" s="353"/>
      <c r="F39" s="353"/>
      <c r="G39" s="353"/>
      <c r="H39" s="353"/>
      <c r="I39" s="353"/>
      <c r="J39" s="353"/>
      <c r="K39" s="353"/>
      <c r="L39" s="353"/>
      <c r="M39" s="353"/>
    </row>
    <row r="40" spans="2:13" s="58" customFormat="1" ht="12.75" customHeight="1">
      <c r="B40" s="353"/>
      <c r="C40" s="353"/>
      <c r="D40" s="353"/>
      <c r="E40" s="353"/>
      <c r="F40" s="353"/>
      <c r="G40" s="353"/>
      <c r="H40" s="353"/>
      <c r="I40" s="353"/>
      <c r="J40" s="353"/>
      <c r="K40" s="353"/>
      <c r="L40" s="353"/>
      <c r="M40" s="353"/>
    </row>
    <row r="41" spans="2:13" s="58" customFormat="1" ht="12.75" customHeight="1">
      <c r="B41" s="638" t="str">
        <f>IF('Język - Language'!$B$30="Polski","STRONA GŁÓWNA O2 (DESKTOP/TABLET)","O2 HOME PAGE (DESKTOP/TABLET)")</f>
        <v>STRONA GŁÓWNA O2 (DESKTOP/TABLET)</v>
      </c>
      <c r="C41" s="638"/>
      <c r="D41" s="638"/>
      <c r="E41" s="638"/>
      <c r="F41" s="638" t="str">
        <f>IF('Język - Language'!$B$30="Polski","STRONA GŁÓWNA O2 (MOBILE)¹","O2 HOME PAGE (MOBILE)¹")</f>
        <v>STRONA GŁÓWNA O2 (MOBILE)¹</v>
      </c>
      <c r="G41" s="638"/>
      <c r="H41" s="638"/>
      <c r="I41" s="638" t="str">
        <f>IF('Język - Language'!$B$30="Polski","CZAS EMISJI","TIME")</f>
        <v>CZAS EMISJI</v>
      </c>
      <c r="J41" s="636" t="str">
        <f>IF('Język - Language'!$B$30="Polski","CENA RC","PRICE")</f>
        <v>CENA RC</v>
      </c>
      <c r="K41" s="353"/>
      <c r="L41" s="353"/>
      <c r="M41" s="353"/>
    </row>
    <row r="42" spans="2:13" s="58" customFormat="1" ht="12.75" customHeight="1">
      <c r="B42" s="639"/>
      <c r="C42" s="639"/>
      <c r="D42" s="639"/>
      <c r="E42" s="639"/>
      <c r="F42" s="639"/>
      <c r="G42" s="639"/>
      <c r="H42" s="639"/>
      <c r="I42" s="639"/>
      <c r="J42" s="637"/>
      <c r="K42" s="353"/>
      <c r="L42" s="353"/>
      <c r="M42" s="353"/>
    </row>
    <row r="43" spans="2:13" s="58" customFormat="1" ht="12.75" customHeight="1">
      <c r="B43" s="592" t="str">
        <f>IF('Język - Language'!$B$30="Polski","Gigaboard FF","Gigaboard FF")</f>
        <v>Gigaboard FF</v>
      </c>
      <c r="C43" s="593"/>
      <c r="D43" s="593"/>
      <c r="E43" s="594"/>
      <c r="F43" s="603" t="str">
        <f>IF('Język - Language'!$B$30="Polski","Rectangle/Banner skalowany FF","Rectangle FF/Adjusted Banner FF")</f>
        <v>Rectangle/Banner skalowany FF</v>
      </c>
      <c r="G43" s="604"/>
      <c r="H43" s="605"/>
      <c r="I43" s="640" t="str">
        <f>IF('Język - Language'!$B$30="Polski","Flat Fee / dzień","Flat Fee / 24 h")</f>
        <v>Flat Fee / dzień</v>
      </c>
      <c r="J43" s="186">
        <v>100000</v>
      </c>
      <c r="K43" s="353"/>
      <c r="L43" s="353"/>
      <c r="M43" s="353"/>
    </row>
    <row r="44" spans="2:13" s="61" customFormat="1" ht="12.75" customHeight="1">
      <c r="B44" s="569" t="str">
        <f>IF('Język - Language'!$B$30="Polski","Billboard/Double Billboard/Wideboard FF","Billboard/Double Billboard/Wideboard")</f>
        <v>Billboard/Double Billboard/Wideboard FF</v>
      </c>
      <c r="C44" s="570"/>
      <c r="D44" s="570"/>
      <c r="E44" s="571"/>
      <c r="F44" s="577" t="str">
        <f>IF('Język - Language'!$B$30="Polski","Banner górny FF","Upper Banner FF")</f>
        <v>Banner górny FF</v>
      </c>
      <c r="G44" s="578"/>
      <c r="H44" s="579"/>
      <c r="I44" s="640"/>
      <c r="J44" s="186">
        <v>65000</v>
      </c>
      <c r="K44" s="353"/>
      <c r="L44" s="353"/>
      <c r="M44" s="353"/>
    </row>
    <row r="45" spans="2:13" s="283" customFormat="1" ht="12.75" customHeight="1">
      <c r="B45" s="619" t="str">
        <f>IF('Język - Language'!$B$30="Polski","Billboard/Double Billboard/Wideboard FF (SG O2 + WARSTWY)","Billboard/Double Billboard/Wideboard FF (O2 HOME PAGE + LAYERS)")</f>
        <v>Billboard/Double Billboard/Wideboard FF (SG O2 + WARSTWY)</v>
      </c>
      <c r="C45" s="620"/>
      <c r="D45" s="620"/>
      <c r="E45" s="621"/>
      <c r="F45" s="642" t="str">
        <f>IF('Język - Language'!$B$30="Polski","Banner górny FF","Upper Banner FF")</f>
        <v>Banner górny FF</v>
      </c>
      <c r="G45" s="643"/>
      <c r="H45" s="644"/>
      <c r="I45" s="640"/>
      <c r="J45" s="186">
        <v>97000</v>
      </c>
      <c r="K45" s="353"/>
      <c r="L45" s="353"/>
      <c r="M45" s="353"/>
    </row>
    <row r="46" spans="2:13" ht="12.75" customHeight="1">
      <c r="B46" s="569" t="str">
        <f>IF('Język - Language'!$B$30="Polski","Native Ad Stream #1, #2 FF","Native Ad Stream #1, #2 FF")</f>
        <v>Native Ad Stream #1, #2 FF</v>
      </c>
      <c r="C46" s="570"/>
      <c r="D46" s="570"/>
      <c r="E46" s="571"/>
      <c r="F46" s="577" t="str">
        <f>IF('Język - Language'!$B$30="Polski","Native Ad FF","Native Ad FF")</f>
        <v>Native Ad FF</v>
      </c>
      <c r="G46" s="578"/>
      <c r="H46" s="579"/>
      <c r="I46" s="640"/>
      <c r="J46" s="186">
        <v>22000</v>
      </c>
      <c r="K46" s="353"/>
      <c r="L46" s="353"/>
      <c r="M46" s="353"/>
    </row>
    <row r="47" spans="2:13" ht="12.75" customHeight="1">
      <c r="B47" s="577" t="str">
        <f>IF('Język - Language'!$B$30="Polski","Mid Box FF","Mid Box FF")</f>
        <v>Mid Box FF</v>
      </c>
      <c r="C47" s="578"/>
      <c r="D47" s="578"/>
      <c r="E47" s="579"/>
      <c r="F47" s="577" t="str">
        <f>IF('Język - Language'!$B$30="Polski","Banner środkowy FF","Middle Banner FF")</f>
        <v>Banner środkowy FF</v>
      </c>
      <c r="G47" s="578"/>
      <c r="H47" s="579"/>
      <c r="I47" s="640"/>
      <c r="J47" s="187">
        <v>32000</v>
      </c>
      <c r="K47" s="353"/>
      <c r="L47" s="353"/>
      <c r="M47" s="353"/>
    </row>
    <row r="48" spans="2:13" ht="12.75" customHeight="1">
      <c r="B48" s="577" t="str">
        <f>IF('Język - Language'!$B$30="Polski","Content Box FF","Content Box FF")</f>
        <v>Content Box FF</v>
      </c>
      <c r="C48" s="578"/>
      <c r="D48" s="578"/>
      <c r="E48" s="579"/>
      <c r="F48" s="577" t="str">
        <f>IF('Język - Language'!$B$30="Polski","Drugi Banner środkowy FF","2nd Middle Banner FF")</f>
        <v>Drugi Banner środkowy FF</v>
      </c>
      <c r="G48" s="578"/>
      <c r="H48" s="579"/>
      <c r="I48" s="640"/>
      <c r="J48" s="188">
        <v>22000</v>
      </c>
      <c r="K48" s="353"/>
      <c r="L48" s="353"/>
      <c r="M48" s="353"/>
    </row>
    <row r="49" spans="2:13" s="283" customFormat="1" ht="12.75" customHeight="1">
      <c r="B49" s="577" t="str">
        <f>IF('Język - Language'!$B$30="Polski","Content Box FF (SG O2 + WARSTWY)","Content Box FF (O2 HOME PAGE + LAYERS)")</f>
        <v>Content Box FF (SG O2 + WARSTWY)</v>
      </c>
      <c r="C49" s="578"/>
      <c r="D49" s="578"/>
      <c r="E49" s="579"/>
      <c r="F49" s="577" t="str">
        <f>IF('Język - Language'!$B$30="Polski","Drugi Banner środkowy FF","2nd Middle Banner FF")</f>
        <v>Drugi Banner środkowy FF</v>
      </c>
      <c r="G49" s="578"/>
      <c r="H49" s="579"/>
      <c r="I49" s="640"/>
      <c r="J49" s="188">
        <v>33000</v>
      </c>
      <c r="K49" s="353"/>
      <c r="L49" s="353"/>
      <c r="M49" s="353"/>
    </row>
    <row r="50" spans="2:13" ht="12.75" customHeight="1">
      <c r="B50" s="577" t="str">
        <f>IF('Język - Language'!$B$30="Polski","Content Box XL FF","Content Box XL FF")</f>
        <v>Content Box XL FF</v>
      </c>
      <c r="C50" s="578"/>
      <c r="D50" s="578"/>
      <c r="E50" s="579"/>
      <c r="F50" s="577" t="str">
        <f>IF('Język - Language'!$B$30="Polski","Rectangle/Banner skalowany FF","Rectangle/Adjusted Banner FF")</f>
        <v>Rectangle/Banner skalowany FF</v>
      </c>
      <c r="G50" s="578"/>
      <c r="H50" s="579"/>
      <c r="I50" s="640"/>
      <c r="J50" s="188">
        <v>38000</v>
      </c>
      <c r="K50" s="353"/>
      <c r="L50" s="353"/>
      <c r="M50" s="353"/>
    </row>
    <row r="51" spans="2:13" s="283" customFormat="1" ht="12.75" customHeight="1">
      <c r="B51" s="577" t="str">
        <f>IF('Język - Language'!$B$30="Polski","Content Box XL FF (SG O2 + WARSTWY)","Content Box XL FF (O2 HOME PAGE + LAYERS)")</f>
        <v>Content Box XL FF (SG O2 + WARSTWY)</v>
      </c>
      <c r="C51" s="578"/>
      <c r="D51" s="578"/>
      <c r="E51" s="579"/>
      <c r="F51" s="577" t="str">
        <f>IF('Język - Language'!$B$30="Polski","Rectangle/Banner skalowany FF","Rectangle/Adjusted Banner FF")</f>
        <v>Rectangle/Banner skalowany FF</v>
      </c>
      <c r="G51" s="578"/>
      <c r="H51" s="579"/>
      <c r="I51" s="640"/>
      <c r="J51" s="187">
        <v>57000</v>
      </c>
      <c r="K51" s="353"/>
    </row>
    <row r="52" spans="2:13" ht="12.75" customHeight="1">
      <c r="B52" s="589" t="str">
        <f>IF('Język - Language'!$B$30="Polski","Bottom Box FF","Bottom Box FF")</f>
        <v>Bottom Box FF</v>
      </c>
      <c r="C52" s="590"/>
      <c r="D52" s="590"/>
      <c r="E52" s="591"/>
      <c r="F52" s="595" t="str">
        <f>IF('Język - Language'!$B$30="Polski","Banner dolny FF","Bottom Banner FF")</f>
        <v>Banner dolny FF</v>
      </c>
      <c r="G52" s="596"/>
      <c r="H52" s="597"/>
      <c r="I52" s="641"/>
      <c r="J52" s="311">
        <v>16000</v>
      </c>
      <c r="K52" s="353"/>
    </row>
    <row r="53" spans="2:13" ht="12.75" customHeight="1">
      <c r="B53" s="322" t="str">
        <f>IF('Język - Language'!$B$30="Polski","- Emisja na wszystkich urządzeniach. Niedostarczenie kreacji na jedno z urządzeń nie skutkuje obniżką ceny pakietowej.","- All screen emission. Failure on the creation of one of the devices does not result in price reduction package.")</f>
        <v>- Emisja na wszystkich urządzeniach. Niedostarczenie kreacji na jedno z urządzeń nie skutkuje obniżką ceny pakietowej.</v>
      </c>
      <c r="C53" s="320"/>
      <c r="D53" s="320"/>
      <c r="E53" s="320"/>
      <c r="F53" s="320"/>
      <c r="G53" s="320"/>
      <c r="H53" s="320"/>
      <c r="I53" s="320"/>
      <c r="J53" s="321"/>
      <c r="K53" s="353"/>
    </row>
    <row r="54" spans="2:13">
      <c r="B54" s="160" t="str">
        <f>IF('Język - Language'!$B$30="Polski","- Dopłata za expand na desktop + tablet: +50% ","- Expand version of ad format for desktop + tablet with extra charge +50%")</f>
        <v xml:space="preserve">- Dopłata za expand na desktop + tablet: +50% </v>
      </c>
      <c r="C54" s="161"/>
      <c r="D54" s="161"/>
      <c r="E54" s="161"/>
      <c r="F54" s="161"/>
      <c r="G54" s="161"/>
      <c r="H54" s="161"/>
      <c r="I54" s="161"/>
      <c r="J54" s="170"/>
      <c r="K54" s="353"/>
    </row>
    <row r="55" spans="2:13">
      <c r="B55" s="160" t="str">
        <f>IF('Język - Language'!$B$30="Polski","- Emisja innych pakietów Multiscreen dostępna na życzenie z dodatkowymi rabatami","- Others Multiscreen Packages are available on demand. We offer special prices.")</f>
        <v>- Emisja innych pakietów Multiscreen dostępna na życzenie z dodatkowymi rabatami</v>
      </c>
      <c r="C55" s="161"/>
      <c r="D55" s="161"/>
      <c r="E55" s="161"/>
      <c r="F55" s="161"/>
      <c r="G55" s="161"/>
      <c r="H55" s="161"/>
      <c r="I55" s="161"/>
      <c r="J55" s="170"/>
      <c r="K55" s="353"/>
    </row>
    <row r="56" spans="2:13" s="82" customFormat="1">
      <c r="B56" s="169"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56" s="161"/>
      <c r="D56" s="161"/>
      <c r="E56" s="161"/>
      <c r="F56" s="161"/>
      <c r="G56" s="161"/>
      <c r="H56" s="161"/>
      <c r="I56" s="161"/>
      <c r="J56" s="170"/>
      <c r="K56" s="353"/>
    </row>
    <row r="57" spans="2:13" s="96" customFormat="1">
      <c r="B57" s="353"/>
      <c r="C57" s="60"/>
      <c r="D57" s="60"/>
      <c r="E57" s="60"/>
      <c r="F57" s="60"/>
      <c r="G57" s="60"/>
      <c r="H57" s="60"/>
      <c r="I57" s="60"/>
      <c r="J57" s="60"/>
      <c r="K57" s="60"/>
    </row>
    <row r="58" spans="2:13" s="96" customFormat="1">
      <c r="B58" s="353"/>
      <c r="C58" s="353"/>
      <c r="D58" s="353"/>
      <c r="E58" s="353"/>
      <c r="F58" s="353"/>
      <c r="G58" s="353"/>
      <c r="H58" s="353"/>
      <c r="I58" s="353"/>
      <c r="J58" s="353"/>
      <c r="K58" s="353"/>
    </row>
    <row r="60" spans="2:13" ht="12.75" customHeight="1">
      <c r="B60" s="618" t="str">
        <f>IF('Język - Language'!$B$30="Polski","STRONA GŁÓWNA PUDELEK (DESKTOP/TABLET)","PUDELEK HOMEPAGE (DESKTOP/TABLET)")</f>
        <v>STRONA GŁÓWNA PUDELEK (DESKTOP/TABLET)</v>
      </c>
      <c r="C60" s="618"/>
      <c r="D60" s="618"/>
      <c r="E60" s="618"/>
      <c r="F60" s="618" t="str">
        <f>IF('Język - Language'!$B$30="Polski","STRONA GŁÓWNA PUDELEK (MOBILE)¹","PUDELEK HOMEPAGE (MOBILE)¹")</f>
        <v>STRONA GŁÓWNA PUDELEK (MOBILE)¹</v>
      </c>
      <c r="G60" s="618"/>
      <c r="H60" s="618"/>
      <c r="I60" s="618" t="str">
        <f>IF('Język - Language'!$B$30="Polski","CZAS EMISJI","TIME")</f>
        <v>CZAS EMISJI</v>
      </c>
      <c r="J60" s="633" t="str">
        <f>IF('Język - Language'!$B$30="Polski","CENA RC","PRICE")</f>
        <v>CENA RC</v>
      </c>
      <c r="K60" s="353"/>
    </row>
    <row r="61" spans="2:13">
      <c r="B61" s="618"/>
      <c r="C61" s="618"/>
      <c r="D61" s="618"/>
      <c r="E61" s="618"/>
      <c r="F61" s="618"/>
      <c r="G61" s="618"/>
      <c r="H61" s="618"/>
      <c r="I61" s="618"/>
      <c r="J61" s="633"/>
      <c r="K61" s="353"/>
    </row>
    <row r="62" spans="2:13" ht="12.75" customHeight="1">
      <c r="B62" s="619" t="str">
        <f>IF('Język - Language'!$B$30="Polski","Billboard/Double Billboard FF","Billboard/Double Billboard FF")</f>
        <v>Billboard/Double Billboard FF</v>
      </c>
      <c r="C62" s="620"/>
      <c r="D62" s="620"/>
      <c r="E62" s="621"/>
      <c r="F62" s="642" t="str">
        <f>IF('Język - Language'!$B$30="Polski","Banner górny FF","Upper Banner FF")</f>
        <v>Banner górny FF</v>
      </c>
      <c r="G62" s="643"/>
      <c r="H62" s="644"/>
      <c r="I62" s="640" t="str">
        <f>IF('Język - Language'!$B$30="Polski","Flat Fee / dzień"," Flat Fee / 24 h")</f>
        <v>Flat Fee / dzień</v>
      </c>
      <c r="J62" s="186">
        <v>90000</v>
      </c>
      <c r="K62" s="353"/>
    </row>
    <row r="63" spans="2:13" ht="12.75" customHeight="1">
      <c r="B63" s="569" t="str">
        <f>IF('Język - Language'!$B$30="Polski","Screening 1/uu + Double Billboard FF (tablet: tylko górny format)","Screening 1/uu + Double Billboard FF (tablet:only upper banner)")</f>
        <v>Screening 1/uu + Double Billboard FF (tablet: tylko górny format)</v>
      </c>
      <c r="C63" s="570"/>
      <c r="D63" s="570"/>
      <c r="E63" s="571"/>
      <c r="F63" s="540" t="str">
        <f>IF('Język - Language'!$B$30="Polski","Screening 1/uu + Banner górny FF","Screening 1/uu + Upper Banner FF")</f>
        <v>Screening 1/uu + Banner górny FF</v>
      </c>
      <c r="G63" s="541"/>
      <c r="H63" s="546"/>
      <c r="I63" s="640"/>
      <c r="J63" s="187">
        <v>115000</v>
      </c>
      <c r="K63" s="353"/>
    </row>
    <row r="64" spans="2:13" s="283" customFormat="1" ht="12.75" customHeight="1">
      <c r="B64" s="569" t="str">
        <f>IF('Język - Language'!$B$30="Polski","Gigaboard 1/uu + Double Billboard FF","Gigaboard 1/uu + Double Billboard FF")</f>
        <v>Gigaboard 1/uu + Double Billboard FF</v>
      </c>
      <c r="C64" s="570"/>
      <c r="D64" s="570"/>
      <c r="E64" s="571"/>
      <c r="F64" s="540" t="str">
        <f>IF('Język - Language'!$B$30="Polski","Commercial Break 1/uu + Banner górny FF","Commercial Break 1/uu + Upper Banner FF")</f>
        <v>Commercial Break 1/uu + Banner górny FF</v>
      </c>
      <c r="G64" s="541"/>
      <c r="H64" s="546"/>
      <c r="I64" s="640"/>
      <c r="J64" s="187">
        <v>115000</v>
      </c>
      <c r="K64" s="353"/>
    </row>
    <row r="65" spans="1:18" ht="12.75" customHeight="1">
      <c r="B65" s="569" t="str">
        <f>IF('Język - Language'!$B$30="Polski","Screening 3/uu + Double Billboard FF (tablet: tylko górny format)","Screening 3/uu + Double Billboard FF (tablet:only upper banner)")</f>
        <v>Screening 3/uu + Double Billboard FF (tablet: tylko górny format)</v>
      </c>
      <c r="C65" s="570"/>
      <c r="D65" s="570"/>
      <c r="E65" s="571"/>
      <c r="F65" s="540" t="str">
        <f>IF('Język - Language'!$B$30="Polski","Screening 3/uu + Banner górny FF","Screening 3/uu + Upper Banner FF")</f>
        <v>Screening 3/uu + Banner górny FF</v>
      </c>
      <c r="G65" s="541"/>
      <c r="H65" s="546"/>
      <c r="I65" s="640"/>
      <c r="J65" s="187">
        <v>130000</v>
      </c>
      <c r="K65" s="353"/>
    </row>
    <row r="66" spans="1:18" s="167" customFormat="1" ht="12.75" customHeight="1">
      <c r="B66" s="589" t="str">
        <f>IF('Język - Language'!$B$30="Polski","Rectangle na liście artykułów FF","Rectangle na liście artykułów FF")</f>
        <v>Rectangle na liście artykułów FF</v>
      </c>
      <c r="C66" s="590"/>
      <c r="D66" s="590"/>
      <c r="E66" s="591"/>
      <c r="F66" s="556" t="str">
        <f>IF('Język - Language'!$B$30="Polski","Rectangle FF","Rectangle FF")</f>
        <v>Rectangle FF</v>
      </c>
      <c r="G66" s="557"/>
      <c r="H66" s="558"/>
      <c r="I66" s="641"/>
      <c r="J66" s="189">
        <v>60000</v>
      </c>
      <c r="K66" s="353"/>
    </row>
    <row r="67" spans="1:18">
      <c r="A67" s="353"/>
      <c r="B67" s="166"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67" s="173"/>
      <c r="D67" s="173"/>
      <c r="E67" s="173"/>
      <c r="F67" s="173"/>
      <c r="G67" s="173"/>
      <c r="H67" s="173"/>
      <c r="I67" s="173"/>
      <c r="J67" s="176"/>
      <c r="K67" s="353"/>
      <c r="L67" s="353"/>
      <c r="M67" s="353"/>
      <c r="N67" s="353"/>
      <c r="O67" s="353"/>
      <c r="P67" s="353"/>
      <c r="Q67" s="353"/>
      <c r="R67" s="353"/>
    </row>
    <row r="68" spans="1:18" s="179" customFormat="1">
      <c r="A68" s="353"/>
      <c r="B68" s="206"/>
      <c r="C68" s="353"/>
      <c r="D68" s="353"/>
      <c r="E68" s="353"/>
      <c r="F68" s="353"/>
      <c r="G68" s="353"/>
      <c r="H68" s="353"/>
      <c r="I68" s="353"/>
      <c r="J68" s="353"/>
      <c r="K68" s="341"/>
      <c r="L68" s="353"/>
      <c r="M68" s="353"/>
      <c r="N68" s="353"/>
      <c r="O68" s="353"/>
      <c r="P68" s="353"/>
      <c r="Q68" s="353"/>
      <c r="R68" s="353"/>
    </row>
    <row r="69" spans="1:18" s="179" customFormat="1">
      <c r="A69" s="353"/>
      <c r="B69" s="206"/>
      <c r="C69" s="353"/>
      <c r="D69" s="353"/>
      <c r="E69" s="353"/>
      <c r="F69" s="353"/>
      <c r="G69" s="353"/>
      <c r="H69" s="353"/>
      <c r="I69" s="353"/>
      <c r="J69" s="353"/>
      <c r="K69" s="341"/>
      <c r="L69" s="353"/>
      <c r="M69" s="353"/>
      <c r="N69" s="353"/>
      <c r="O69" s="353"/>
      <c r="P69" s="353"/>
      <c r="Q69" s="353"/>
      <c r="R69" s="353"/>
    </row>
    <row r="70" spans="1:18" s="194" customFormat="1" ht="25.5" customHeight="1">
      <c r="A70" s="353"/>
      <c r="B70" s="622" t="s">
        <v>10</v>
      </c>
      <c r="C70" s="623"/>
      <c r="D70" s="623"/>
      <c r="E70" s="624"/>
      <c r="F70" s="622" t="s">
        <v>11</v>
      </c>
      <c r="G70" s="623"/>
      <c r="H70" s="624"/>
      <c r="I70" s="207" t="str">
        <f>IF('Język - Language'!$B$30="Polski","MODEL EMISJI","MODEL OF EMISSION")</f>
        <v>MODEL EMISJI</v>
      </c>
      <c r="J70" s="207" t="str">
        <f>IF('Język - Language'!$B$30="Polski","CENA","PRICE")</f>
        <v>CENA</v>
      </c>
      <c r="K70" s="353"/>
      <c r="L70" s="353"/>
      <c r="M70" s="353"/>
      <c r="N70" s="353"/>
      <c r="O70" s="353"/>
      <c r="P70" s="353"/>
      <c r="Q70" s="353"/>
      <c r="R70" s="353"/>
    </row>
    <row r="71" spans="1:18" s="194" customFormat="1">
      <c r="A71" s="199"/>
      <c r="B71" s="628" t="s">
        <v>12</v>
      </c>
      <c r="C71" s="629"/>
      <c r="D71" s="629"/>
      <c r="E71" s="630"/>
      <c r="F71" s="628" t="s">
        <v>13</v>
      </c>
      <c r="G71" s="629"/>
      <c r="H71" s="630"/>
      <c r="I71" s="550" t="str">
        <f>IF('Język - Language'!$B$30="Polski","Flat Fee / tydzień","Flat Fee / 1 week")</f>
        <v>Flat Fee / tydzień</v>
      </c>
      <c r="J71" s="197">
        <v>78000</v>
      </c>
      <c r="K71" s="353"/>
      <c r="L71" s="353"/>
      <c r="M71" s="353"/>
      <c r="N71" s="353"/>
      <c r="O71" s="353"/>
      <c r="P71" s="353"/>
      <c r="Q71" s="353"/>
      <c r="R71" s="353"/>
    </row>
    <row r="72" spans="1:18" s="179" customFormat="1">
      <c r="A72" s="199"/>
      <c r="B72" s="540" t="s">
        <v>14</v>
      </c>
      <c r="C72" s="541"/>
      <c r="D72" s="541"/>
      <c r="E72" s="546"/>
      <c r="F72" s="540" t="s">
        <v>15</v>
      </c>
      <c r="G72" s="541"/>
      <c r="H72" s="546"/>
      <c r="I72" s="551"/>
      <c r="J72" s="196">
        <v>105000</v>
      </c>
      <c r="K72" s="353"/>
      <c r="L72" s="353"/>
      <c r="M72" s="353"/>
      <c r="N72" s="353"/>
      <c r="O72" s="353"/>
      <c r="P72" s="353"/>
      <c r="Q72" s="353"/>
      <c r="R72" s="353"/>
    </row>
    <row r="73" spans="1:18" s="179" customFormat="1">
      <c r="A73" s="199"/>
      <c r="B73" s="540" t="s">
        <v>16</v>
      </c>
      <c r="C73" s="541"/>
      <c r="D73" s="541"/>
      <c r="E73" s="546"/>
      <c r="F73" s="540" t="s">
        <v>17</v>
      </c>
      <c r="G73" s="541"/>
      <c r="H73" s="546"/>
      <c r="I73" s="551"/>
      <c r="J73" s="196">
        <v>120000</v>
      </c>
      <c r="K73" s="353"/>
      <c r="L73" s="353"/>
      <c r="M73" s="353"/>
      <c r="N73" s="353"/>
      <c r="O73" s="353"/>
      <c r="P73" s="353"/>
      <c r="Q73" s="353"/>
      <c r="R73" s="353"/>
    </row>
    <row r="74" spans="1:18" s="179" customFormat="1">
      <c r="A74" s="199"/>
      <c r="B74" s="540" t="s">
        <v>18</v>
      </c>
      <c r="C74" s="541"/>
      <c r="D74" s="541"/>
      <c r="E74" s="546"/>
      <c r="F74" s="540" t="s">
        <v>19</v>
      </c>
      <c r="G74" s="541"/>
      <c r="H74" s="546"/>
      <c r="I74" s="551"/>
      <c r="J74" s="195">
        <v>45000</v>
      </c>
      <c r="K74" s="353"/>
      <c r="L74" s="353"/>
      <c r="M74" s="353"/>
      <c r="N74" s="353"/>
      <c r="O74" s="353"/>
      <c r="P74" s="353"/>
      <c r="Q74" s="353"/>
      <c r="R74" s="353"/>
    </row>
    <row r="75" spans="1:18" s="179" customFormat="1">
      <c r="A75" s="199"/>
      <c r="B75" s="556" t="s">
        <v>20</v>
      </c>
      <c r="C75" s="557"/>
      <c r="D75" s="557"/>
      <c r="E75" s="558"/>
      <c r="F75" s="547" t="s">
        <v>21</v>
      </c>
      <c r="G75" s="548"/>
      <c r="H75" s="549"/>
      <c r="I75" s="552"/>
      <c r="J75" s="469">
        <v>52000</v>
      </c>
      <c r="K75" s="353"/>
      <c r="L75" s="353"/>
      <c r="M75" s="353"/>
      <c r="N75" s="353"/>
      <c r="O75" s="353"/>
      <c r="P75" s="353"/>
      <c r="Q75" s="353"/>
      <c r="R75" s="353"/>
    </row>
    <row r="76" spans="1:18" s="179" customFormat="1">
      <c r="A76" s="353"/>
      <c r="B76" s="166" t="str">
        <f>IF('Język - Language'!$B$30="Polski","¹ dopłata do formatu 1200x200 px 25%","¹ Extra charge for 1200x200 px format +25%")</f>
        <v>¹ dopłata do formatu 1200x200 px 25%</v>
      </c>
      <c r="C76" s="173"/>
      <c r="D76" s="173"/>
      <c r="E76" s="173"/>
      <c r="F76" s="190"/>
      <c r="G76" s="190"/>
      <c r="H76" s="173"/>
      <c r="I76" s="173"/>
      <c r="J76" s="174"/>
      <c r="K76" s="353"/>
      <c r="L76" s="353"/>
      <c r="M76" s="353"/>
      <c r="N76" s="353"/>
      <c r="O76" s="353"/>
      <c r="P76" s="353"/>
      <c r="Q76" s="353"/>
      <c r="R76" s="353"/>
    </row>
    <row r="77" spans="1:18" s="179" customFormat="1">
      <c r="A77" s="353"/>
      <c r="B77" s="166" t="str">
        <f>IF('Język - Language'!$B$30="Polski","² Content Box XL +75%","² Content Box XL +75%")</f>
        <v>² Content Box XL +75%</v>
      </c>
      <c r="C77" s="173"/>
      <c r="D77" s="173"/>
      <c r="E77" s="173"/>
      <c r="F77" s="173"/>
      <c r="G77" s="173"/>
      <c r="H77" s="173"/>
      <c r="I77" s="173"/>
      <c r="J77" s="176"/>
      <c r="K77" s="353"/>
      <c r="L77" s="353"/>
      <c r="M77" s="353"/>
      <c r="N77" s="353"/>
      <c r="O77" s="353"/>
      <c r="P77" s="353"/>
      <c r="Q77" s="353"/>
      <c r="R77" s="353"/>
    </row>
    <row r="78" spans="1:18" s="198" customFormat="1">
      <c r="A78" s="353"/>
      <c r="B78" s="206"/>
      <c r="C78" s="353"/>
      <c r="D78" s="353"/>
      <c r="E78" s="353"/>
      <c r="F78" s="353"/>
      <c r="G78" s="353"/>
      <c r="H78" s="353"/>
      <c r="I78" s="353"/>
      <c r="J78" s="353"/>
      <c r="K78" s="353"/>
      <c r="L78" s="353"/>
      <c r="M78" s="353"/>
      <c r="N78" s="353"/>
      <c r="O78" s="353"/>
      <c r="P78" s="353"/>
      <c r="Q78" s="353"/>
      <c r="R78" s="353"/>
    </row>
    <row r="79" spans="1:18" s="198" customFormat="1">
      <c r="A79" s="353"/>
      <c r="B79" s="206"/>
      <c r="C79" s="353"/>
      <c r="D79" s="353"/>
      <c r="E79" s="353"/>
      <c r="F79" s="353"/>
      <c r="G79" s="353"/>
      <c r="H79" s="353"/>
      <c r="I79" s="353"/>
      <c r="J79" s="353"/>
      <c r="K79" s="353"/>
      <c r="L79" s="353"/>
      <c r="M79" s="353"/>
      <c r="N79" s="353"/>
      <c r="O79" s="353"/>
      <c r="P79" s="353"/>
      <c r="Q79" s="353"/>
      <c r="R79" s="353"/>
    </row>
    <row r="80" spans="1:18" s="198" customFormat="1" ht="25.5" customHeight="1">
      <c r="A80" s="353"/>
      <c r="B80" s="555" t="s">
        <v>22</v>
      </c>
      <c r="C80" s="555"/>
      <c r="D80" s="555"/>
      <c r="E80" s="555"/>
      <c r="F80" s="555" t="s">
        <v>23</v>
      </c>
      <c r="G80" s="555"/>
      <c r="H80" s="555"/>
      <c r="I80" s="436" t="s">
        <v>24</v>
      </c>
      <c r="J80" s="230" t="s">
        <v>25</v>
      </c>
      <c r="K80" s="353"/>
      <c r="L80" s="353"/>
      <c r="M80" s="353"/>
      <c r="N80" s="353"/>
      <c r="O80" s="353"/>
      <c r="P80" s="353"/>
      <c r="Q80" s="353"/>
      <c r="R80" s="353"/>
    </row>
    <row r="81" spans="1:18" s="198" customFormat="1">
      <c r="A81" s="199"/>
      <c r="B81" s="580" t="str">
        <f>IF('Język - Language'!$B$30="Polski","Content Box","Content Box")</f>
        <v>Content Box</v>
      </c>
      <c r="C81" s="581"/>
      <c r="D81" s="581"/>
      <c r="E81" s="582"/>
      <c r="F81" s="580" t="str">
        <f>IF('Język - Language'!$B$30="Polski","Rectangle","Rectangle")</f>
        <v>Rectangle</v>
      </c>
      <c r="G81" s="581"/>
      <c r="H81" s="582"/>
      <c r="I81" s="229" t="str">
        <f>IF('Język - Language'!$B$30="Polski","Flat Fee / dzień","Flat Fee / 24 h")</f>
        <v>Flat Fee / dzień</v>
      </c>
      <c r="J81" s="193">
        <v>20000</v>
      </c>
      <c r="K81" s="353"/>
      <c r="L81" s="353"/>
      <c r="M81" s="353"/>
      <c r="N81" s="353"/>
      <c r="O81" s="353"/>
      <c r="P81" s="353"/>
      <c r="Q81" s="353"/>
      <c r="R81" s="353"/>
    </row>
    <row r="82" spans="1:18" s="198" customFormat="1">
      <c r="A82" s="199"/>
      <c r="B82" s="580"/>
      <c r="C82" s="581"/>
      <c r="D82" s="581"/>
      <c r="E82" s="582"/>
      <c r="F82" s="580"/>
      <c r="G82" s="581"/>
      <c r="H82" s="582"/>
      <c r="I82" s="458" t="str">
        <f>IF('Język - Language'!$B$30="Polski","Flat Fee / tydzień","Flat Fee / 1 week")</f>
        <v>Flat Fee / tydzień</v>
      </c>
      <c r="J82" s="192">
        <v>100000</v>
      </c>
      <c r="K82" s="353"/>
      <c r="L82" s="353"/>
      <c r="M82" s="353"/>
      <c r="N82" s="353"/>
      <c r="O82" s="353"/>
      <c r="P82" s="353"/>
      <c r="Q82" s="353"/>
      <c r="R82" s="353"/>
    </row>
    <row r="83" spans="1:18" s="198" customFormat="1" ht="25.5" customHeight="1">
      <c r="A83" s="353"/>
      <c r="B83" s="555" t="s">
        <v>26</v>
      </c>
      <c r="C83" s="555"/>
      <c r="D83" s="555"/>
      <c r="E83" s="555"/>
      <c r="F83" s="555" t="s">
        <v>27</v>
      </c>
      <c r="G83" s="555"/>
      <c r="H83" s="555"/>
      <c r="I83" s="436" t="s">
        <v>24</v>
      </c>
      <c r="J83" s="230" t="s">
        <v>25</v>
      </c>
      <c r="K83" s="353"/>
      <c r="L83" s="353"/>
      <c r="M83" s="353"/>
      <c r="N83" s="353"/>
      <c r="O83" s="353"/>
      <c r="P83" s="353"/>
      <c r="Q83" s="353"/>
      <c r="R83" s="353"/>
    </row>
    <row r="84" spans="1:18" s="198" customFormat="1" ht="25.5" customHeight="1">
      <c r="A84" s="199"/>
      <c r="B84" s="625" t="str">
        <f>IF('Język - Language'!$B$30="Polski","Double Billboard","Double Billboard")</f>
        <v>Double Billboard</v>
      </c>
      <c r="C84" s="626"/>
      <c r="D84" s="626"/>
      <c r="E84" s="627"/>
      <c r="F84" s="625" t="str">
        <f>IF('Język - Language'!$B$30="Polski","Banner górny","Upper Banner")</f>
        <v>Banner górny</v>
      </c>
      <c r="G84" s="626"/>
      <c r="H84" s="627"/>
      <c r="I84" s="455" t="str">
        <f>IF('Język - Language'!$B$30="Polski","Flat Fee / dzień","Flat Fee / 24 h")</f>
        <v>Flat Fee / dzień</v>
      </c>
      <c r="J84" s="191">
        <v>160000</v>
      </c>
      <c r="K84" s="353"/>
      <c r="L84" s="353"/>
      <c r="M84" s="353"/>
      <c r="N84" s="353"/>
      <c r="O84" s="353"/>
      <c r="P84" s="353"/>
      <c r="Q84" s="353"/>
      <c r="R84" s="353"/>
    </row>
    <row r="85" spans="1:18" s="353" customFormat="1" ht="12.75" customHeight="1">
      <c r="A85" s="341"/>
      <c r="B85" s="368"/>
      <c r="C85" s="368"/>
      <c r="D85" s="368"/>
      <c r="E85" s="368"/>
      <c r="F85" s="368"/>
      <c r="G85" s="368"/>
      <c r="H85" s="368"/>
      <c r="I85" s="368"/>
      <c r="J85" s="377"/>
    </row>
    <row r="86" spans="1:18" s="353" customFormat="1" ht="12.75" customHeight="1">
      <c r="A86" s="341"/>
      <c r="B86" s="368"/>
      <c r="C86" s="368"/>
      <c r="D86" s="368"/>
      <c r="E86" s="368"/>
      <c r="F86" s="368"/>
      <c r="G86" s="368"/>
      <c r="H86" s="368"/>
      <c r="I86" s="368"/>
      <c r="J86" s="377"/>
    </row>
    <row r="87" spans="1:18" s="353" customFormat="1" ht="12.75" customHeight="1">
      <c r="A87" s="341"/>
      <c r="B87" s="368"/>
      <c r="C87" s="368"/>
      <c r="D87" s="368"/>
      <c r="E87" s="368"/>
      <c r="F87" s="368"/>
      <c r="G87" s="368"/>
      <c r="H87" s="368"/>
      <c r="I87" s="368"/>
      <c r="J87" s="377"/>
    </row>
    <row r="88" spans="1:18" s="353" customFormat="1" ht="25.5" customHeight="1">
      <c r="A88" s="341"/>
      <c r="B88" s="656" t="s">
        <v>28</v>
      </c>
      <c r="C88" s="656"/>
      <c r="D88" s="656"/>
      <c r="E88" s="656"/>
      <c r="F88" s="656" t="s">
        <v>29</v>
      </c>
      <c r="G88" s="656"/>
      <c r="H88" s="656"/>
      <c r="I88" s="434" t="s">
        <v>24</v>
      </c>
      <c r="J88" s="380" t="s">
        <v>25</v>
      </c>
    </row>
    <row r="89" spans="1:18" s="353" customFormat="1" ht="12.75" customHeight="1">
      <c r="A89" s="199"/>
      <c r="B89" s="657" t="s">
        <v>30</v>
      </c>
      <c r="C89" s="658"/>
      <c r="D89" s="658"/>
      <c r="E89" s="659"/>
      <c r="F89" s="657" t="s">
        <v>31</v>
      </c>
      <c r="G89" s="658"/>
      <c r="H89" s="659"/>
      <c r="I89" s="378" t="s">
        <v>32</v>
      </c>
      <c r="J89" s="379">
        <v>25000</v>
      </c>
    </row>
    <row r="90" spans="1:18" s="353" customFormat="1" ht="12.75" customHeight="1">
      <c r="A90" s="199"/>
      <c r="B90" s="660"/>
      <c r="C90" s="661"/>
      <c r="D90" s="661"/>
      <c r="E90" s="662"/>
      <c r="F90" s="660"/>
      <c r="G90" s="661"/>
      <c r="H90" s="662"/>
      <c r="I90" s="456" t="s">
        <v>33</v>
      </c>
      <c r="J90" s="193">
        <v>140000</v>
      </c>
    </row>
    <row r="91" spans="1:18" s="353" customFormat="1" ht="12.75" customHeight="1">
      <c r="A91" s="199"/>
      <c r="B91" s="580" t="s">
        <v>34</v>
      </c>
      <c r="C91" s="581"/>
      <c r="D91" s="581"/>
      <c r="E91" s="582"/>
      <c r="F91" s="663" t="s">
        <v>35</v>
      </c>
      <c r="G91" s="664"/>
      <c r="H91" s="665"/>
      <c r="I91" s="381" t="s">
        <v>32</v>
      </c>
      <c r="J91" s="459">
        <v>15000</v>
      </c>
    </row>
    <row r="92" spans="1:18" s="353" customFormat="1" ht="12.75" customHeight="1">
      <c r="A92" s="199"/>
      <c r="B92" s="625"/>
      <c r="C92" s="626"/>
      <c r="D92" s="626"/>
      <c r="E92" s="627"/>
      <c r="F92" s="625"/>
      <c r="G92" s="626"/>
      <c r="H92" s="627"/>
      <c r="I92" s="455" t="s">
        <v>33</v>
      </c>
      <c r="J92" s="191">
        <v>90000</v>
      </c>
    </row>
    <row r="93" spans="1:18" s="198" customFormat="1">
      <c r="A93" s="353"/>
      <c r="B93" s="206"/>
      <c r="C93" s="353"/>
      <c r="D93" s="353"/>
      <c r="E93" s="353"/>
      <c r="F93" s="353"/>
      <c r="G93" s="353"/>
      <c r="H93" s="353"/>
      <c r="I93" s="353"/>
      <c r="J93" s="353"/>
      <c r="K93" s="353"/>
      <c r="L93" s="353"/>
      <c r="M93" s="353"/>
      <c r="N93" s="353"/>
      <c r="O93" s="353"/>
      <c r="P93" s="353"/>
      <c r="Q93" s="353"/>
      <c r="R93" s="353"/>
    </row>
    <row r="95" spans="1:18" s="68" customFormat="1" ht="22.35" customHeight="1">
      <c r="A95" s="353"/>
      <c r="B95" s="177"/>
      <c r="C95" s="553" t="str">
        <f>IF('Język - Language'!$B$30="Polski","DNIÓWKI TEMATYCZNE","DAILY THEMATIC EMISSION")</f>
        <v>DNIÓWKI TEMATYCZNE</v>
      </c>
      <c r="D95" s="553" t="str">
        <f>IF('Język - Language'!$B$30="Polski","MIEJSCE EMISJI","PLACE OF EMISSION")</f>
        <v>MIEJSCE EMISJI</v>
      </c>
      <c r="E95" s="553"/>
      <c r="F95" s="553" t="str">
        <f>IF('Język - Language'!$B$30="Polski","MODEL EMISJI","MODEL OF EMISSION")</f>
        <v>MODEL EMISJI</v>
      </c>
      <c r="G95" s="553" t="str">
        <f>IF('Język - Language'!$B$30="Polski","DOUBLE BILLBOARD, HALFPAGE (DESKTOP/TABLET)","DOUBLE BILLBOARD, HALFPAGE (DESKTOP/TABLET)")</f>
        <v>DOUBLE BILLBOARD, HALFPAGE (DESKTOP/TABLET)</v>
      </c>
      <c r="H95" s="553"/>
      <c r="I95" s="553" t="str">
        <f>IF('Język - Language'!$B$30="Polski","SCREENING 200 + DOUBLE BILLBOARD (DESKTOP/TABLET)","SCREENING 200 + DOUBLE BILLBOARD (DESKTOP/TABLET)")</f>
        <v>SCREENING 200 + DOUBLE BILLBOARD (DESKTOP/TABLET)</v>
      </c>
      <c r="J95" s="559"/>
      <c r="K95" s="353"/>
      <c r="L95" s="21"/>
      <c r="M95" s="6"/>
      <c r="N95" s="29"/>
      <c r="O95" s="341"/>
      <c r="P95" s="341"/>
      <c r="Q95" s="341"/>
      <c r="R95" s="353"/>
    </row>
    <row r="96" spans="1:18" s="135" customFormat="1" ht="16.350000000000001" customHeight="1">
      <c r="A96" s="353"/>
      <c r="B96" s="178"/>
      <c r="C96" s="554"/>
      <c r="D96" s="554"/>
      <c r="E96" s="554"/>
      <c r="F96" s="554"/>
      <c r="G96" s="562" t="str">
        <f>IF('Język - Language'!$B$30="Polski","BANNER GÓRNY (MOBILE)","UPPER BANNER (MOBILE)")</f>
        <v>BANNER GÓRNY (MOBILE)</v>
      </c>
      <c r="H96" s="562"/>
      <c r="I96" s="562" t="str">
        <f>IF('Język - Language'!$B$30="Polski","SCREENING LUB BANNER XL (MOBILE)²","SCREENING OR BANNER XL (MOBILE)²")</f>
        <v>SCREENING LUB BANNER XL (MOBILE)²</v>
      </c>
      <c r="J96" s="563"/>
      <c r="K96" s="353"/>
      <c r="L96" s="21"/>
      <c r="M96" s="6"/>
      <c r="N96" s="29"/>
      <c r="O96" s="341"/>
      <c r="P96" s="341"/>
      <c r="Q96" s="341"/>
      <c r="R96" s="353"/>
    </row>
    <row r="97" spans="1:18" s="101" customFormat="1" ht="48" customHeight="1">
      <c r="A97" s="353"/>
      <c r="B97" s="560" t="str">
        <f>IF('Język - Language'!$B$30="Polski","Serwisy Premium","Premium Sites")</f>
        <v>Serwisy Premium</v>
      </c>
      <c r="C97" s="561"/>
      <c r="D97" s="560" t="s">
        <v>36</v>
      </c>
      <c r="E97" s="647"/>
      <c r="F97" s="180" t="str">
        <f>IF('Język - Language'!$B$30="Polski","łączny cap3xuu / dzień","cap3xuu (total 3 page views / day)")</f>
        <v>łączny cap3xuu / dzień</v>
      </c>
      <c r="G97" s="564" t="str">
        <f>IF('Język - Language'!$B$30="Polski",CONCATENATE("225 000 PLN dzień powszedni",CHAR(10),CHAR(10),"180 000 PLN dzień weekendowy"),CONCATENATE("225 000 PLN - workday",CHAR(10),CHAR(10),"180 000 PLN - weekend"))</f>
        <v>225 000 PLN dzień powszedni
180 000 PLN dzień weekendowy</v>
      </c>
      <c r="H97" s="565"/>
      <c r="I97" s="564" t="str">
        <f>IF('Język - Language'!$B$30="Polski",CONCATENATE("275 000 PLN dzień powszedni",CHAR(10),CHAR(10),"225 000 PLN dzień weekendowy"),CONCATENATE("275 000 PLN - workday",CHAR(10),CHAR(10),"225 000 PLN - weekend"))</f>
        <v>275 000 PLN dzień powszedni
225 000 PLN dzień weekendowy</v>
      </c>
      <c r="J97" s="565"/>
      <c r="K97" s="353"/>
      <c r="L97" s="19"/>
      <c r="M97" s="6"/>
      <c r="N97" s="29"/>
      <c r="O97" s="341"/>
      <c r="P97" s="341"/>
      <c r="Q97" s="341"/>
      <c r="R97" s="353"/>
    </row>
    <row r="98" spans="1:18" s="68" customFormat="1" ht="12.75" customHeight="1">
      <c r="A98" s="353"/>
      <c r="B98" s="540" t="str">
        <f>IF('Język - Language'!$B$30="Polski","Biznes","Business")</f>
        <v>Biznes</v>
      </c>
      <c r="C98" s="546"/>
      <c r="D98" s="540" t="s">
        <v>37</v>
      </c>
      <c r="E98" s="546"/>
      <c r="F98" s="464" t="str">
        <f>IF('Język - Language'!$B$30="Polski","łączny cap3xuu / dzień","cap3xuu (total 3 page views / day)")</f>
        <v>łączny cap3xuu / dzień</v>
      </c>
      <c r="G98" s="544">
        <v>180000</v>
      </c>
      <c r="H98" s="545"/>
      <c r="I98" s="544">
        <v>240000</v>
      </c>
      <c r="J98" s="545"/>
      <c r="K98" s="353"/>
      <c r="L98" s="19"/>
      <c r="M98" s="6"/>
      <c r="N98" s="29"/>
      <c r="O98" s="341"/>
      <c r="P98" s="341"/>
      <c r="Q98" s="341"/>
      <c r="R98" s="353"/>
    </row>
    <row r="99" spans="1:18" s="68" customFormat="1" ht="12.75" customHeight="1">
      <c r="B99" s="540" t="str">
        <f>IF('Język - Language'!$B$30="Polski","Wiadomości","News")</f>
        <v>Wiadomości</v>
      </c>
      <c r="C99" s="546"/>
      <c r="D99" s="540" t="s">
        <v>38</v>
      </c>
      <c r="E99" s="546"/>
      <c r="F99" s="323" t="str">
        <f>IF('Język - Language'!$B$30="Polski","łączny cap3xuu / dzień","cap3xuu (total 3 page views / day)")</f>
        <v>łączny cap3xuu / dzień</v>
      </c>
      <c r="G99" s="544">
        <v>160000</v>
      </c>
      <c r="H99" s="545"/>
      <c r="I99" s="544">
        <v>210000</v>
      </c>
      <c r="J99" s="545"/>
      <c r="K99" s="353"/>
      <c r="L99" s="19"/>
      <c r="M99" s="6"/>
      <c r="N99" s="29"/>
      <c r="O99" s="341"/>
      <c r="P99" s="341"/>
    </row>
    <row r="100" spans="1:18" s="68" customFormat="1" ht="12.75" customHeight="1">
      <c r="B100" s="540" t="str">
        <f>IF('Język - Language'!$B$30="Polski","Motoryzacja","Moto")</f>
        <v>Motoryzacja</v>
      </c>
      <c r="C100" s="546"/>
      <c r="D100" s="540" t="s">
        <v>39</v>
      </c>
      <c r="E100" s="541"/>
      <c r="F100" s="181" t="str">
        <f>IF('Język - Language'!$B$30="Polski","łączny cap3xuu / dzień","cap3xuu (total 3 page views / day)")</f>
        <v>łączny cap3xuu / dzień</v>
      </c>
      <c r="G100" s="544">
        <v>30000</v>
      </c>
      <c r="H100" s="545"/>
      <c r="I100" s="544">
        <v>40000</v>
      </c>
      <c r="J100" s="545"/>
      <c r="K100" s="353"/>
      <c r="L100" s="19"/>
      <c r="M100" s="6"/>
      <c r="N100" s="29"/>
      <c r="O100" s="341"/>
      <c r="P100" s="341"/>
    </row>
    <row r="101" spans="1:18" s="283" customFormat="1" ht="25.5" customHeight="1">
      <c r="B101" s="540" t="s">
        <v>40</v>
      </c>
      <c r="C101" s="546"/>
      <c r="D101" s="540" t="s">
        <v>41</v>
      </c>
      <c r="E101" s="546"/>
      <c r="F101" s="181" t="s">
        <v>42</v>
      </c>
      <c r="G101" s="544">
        <v>50000</v>
      </c>
      <c r="H101" s="545"/>
      <c r="I101" s="544">
        <v>80000</v>
      </c>
      <c r="J101" s="545"/>
      <c r="K101" s="353"/>
      <c r="L101" s="19"/>
      <c r="M101" s="6"/>
      <c r="N101" s="29"/>
      <c r="O101" s="341"/>
      <c r="P101" s="341"/>
    </row>
    <row r="102" spans="1:18" s="68" customFormat="1" ht="12.75" customHeight="1">
      <c r="B102" s="540" t="str">
        <f>IF('Język - Language'!$B$30="Polski","Kobieta","Woman")</f>
        <v>Kobieta</v>
      </c>
      <c r="C102" s="546"/>
      <c r="D102" s="540" t="s">
        <v>43</v>
      </c>
      <c r="E102" s="541"/>
      <c r="F102" s="181" t="str">
        <f>IF('Język - Language'!$B$30="Polski","łączny cap3xuu / dzień","cap3xuu (total 3 page views / day)")</f>
        <v>łączny cap3xuu / dzień</v>
      </c>
      <c r="G102" s="544">
        <v>70000</v>
      </c>
      <c r="H102" s="545"/>
      <c r="I102" s="544">
        <v>93000</v>
      </c>
      <c r="J102" s="545"/>
      <c r="K102" s="353"/>
      <c r="L102" s="19"/>
      <c r="M102" s="6"/>
      <c r="N102" s="29"/>
      <c r="O102" s="30"/>
      <c r="P102" s="5"/>
    </row>
    <row r="103" spans="1:18" s="134" customFormat="1" ht="12.75" customHeight="1">
      <c r="B103" s="540" t="str">
        <f>IF('Język - Language'!$B$30="Polski","Zdrowie ","Health")</f>
        <v xml:space="preserve">Zdrowie </v>
      </c>
      <c r="C103" s="546"/>
      <c r="D103" s="540" t="s">
        <v>44</v>
      </c>
      <c r="E103" s="541"/>
      <c r="F103" s="181" t="str">
        <f>IF('Język - Language'!$B$30="Polski","łączny cap3xuu / dzień","cap3xuu (total 3 page views / day)")</f>
        <v>łączny cap3xuu / dzień</v>
      </c>
      <c r="G103" s="544">
        <v>150000</v>
      </c>
      <c r="H103" s="545"/>
      <c r="I103" s="544">
        <v>195000</v>
      </c>
      <c r="J103" s="545"/>
      <c r="K103" s="353"/>
      <c r="L103" s="19"/>
      <c r="M103" s="6"/>
      <c r="N103" s="29"/>
      <c r="O103" s="30"/>
      <c r="P103" s="5"/>
    </row>
    <row r="104" spans="1:18" s="68" customFormat="1" ht="12.75" customHeight="1">
      <c r="B104" s="540" t="str">
        <f>IF('Język - Language'!$B$30="Polski","Sport","Sport ")</f>
        <v>Sport</v>
      </c>
      <c r="C104" s="546"/>
      <c r="D104" s="540" t="s">
        <v>45</v>
      </c>
      <c r="E104" s="541"/>
      <c r="F104" s="181" t="str">
        <f>IF('Język - Language'!$B$30="Polski","łączny cap3xuu / dzień","cap3xuu (total 3 page views / day)")</f>
        <v>łączny cap3xuu / dzień</v>
      </c>
      <c r="G104" s="544">
        <v>120000</v>
      </c>
      <c r="H104" s="545"/>
      <c r="I104" s="544">
        <v>155000</v>
      </c>
      <c r="J104" s="545"/>
      <c r="K104" s="353"/>
      <c r="L104" s="19"/>
      <c r="M104" s="6"/>
      <c r="N104" s="29"/>
      <c r="O104" s="6"/>
      <c r="P104" s="49"/>
    </row>
    <row r="105" spans="1:18" s="283" customFormat="1" ht="12.75" customHeight="1">
      <c r="B105" s="540" t="s">
        <v>46</v>
      </c>
      <c r="C105" s="546"/>
      <c r="D105" s="540" t="s">
        <v>47</v>
      </c>
      <c r="E105" s="541"/>
      <c r="F105" s="181" t="s">
        <v>42</v>
      </c>
      <c r="G105" s="544">
        <v>115000</v>
      </c>
      <c r="H105" s="545"/>
      <c r="I105" s="544">
        <v>150000</v>
      </c>
      <c r="J105" s="545"/>
      <c r="K105" s="353"/>
      <c r="L105" s="19"/>
      <c r="M105" s="6"/>
      <c r="N105" s="29"/>
      <c r="O105" s="341"/>
      <c r="P105" s="341"/>
    </row>
    <row r="106" spans="1:18" s="68" customFormat="1" ht="12.75" customHeight="1">
      <c r="B106" s="547" t="str">
        <f>IF('Język - Language'!$B$30="Polski","Turystyka","Travel")</f>
        <v>Turystyka</v>
      </c>
      <c r="C106" s="549"/>
      <c r="D106" s="547" t="s">
        <v>48</v>
      </c>
      <c r="E106" s="548"/>
      <c r="F106" s="182" t="str">
        <f>IF('Język - Language'!$B$30="Polski","łączny cap3xuu / dzień","cap3xuu (total 3 page views / day)")</f>
        <v>łączny cap3xuu / dzień</v>
      </c>
      <c r="G106" s="542">
        <v>20000</v>
      </c>
      <c r="H106" s="543"/>
      <c r="I106" s="542">
        <v>25000</v>
      </c>
      <c r="J106" s="543"/>
      <c r="K106" s="353"/>
      <c r="L106" s="19"/>
      <c r="M106" s="81"/>
      <c r="N106" s="341"/>
      <c r="O106" s="341"/>
      <c r="P106" s="341"/>
    </row>
    <row r="107" spans="1:18">
      <c r="B107" s="169" t="str">
        <f>IF('Język - Language'!$B$30="Polski","¹ emisja z wyłączeniem SG Pudelek","¹ emission without HP Pudelek")</f>
        <v>¹ emisja z wyłączeniem SG Pudelek</v>
      </c>
      <c r="C107" s="168"/>
      <c r="D107" s="168"/>
      <c r="E107" s="168"/>
      <c r="F107" s="168"/>
      <c r="G107" s="168"/>
      <c r="H107" s="168"/>
      <c r="I107" s="168"/>
      <c r="J107" s="175"/>
      <c r="K107" s="353"/>
      <c r="L107" s="353"/>
      <c r="M107" s="353"/>
      <c r="N107" s="353"/>
      <c r="O107" s="353"/>
      <c r="P107" s="353"/>
    </row>
    <row r="108" spans="1:18">
      <c r="B108" s="168" t="str">
        <f>IF('Język - Language'!$B$30="Polski","² format dostępny na wybranych serwisach mobile: pudelek, money.pl, sportowefakty, o2, serwisy pako, abczdrowie i parenting (tylko strony artykułowe)","² available on the selected mobile services")</f>
        <v>² format dostępny na wybranych serwisach mobile: pudelek, money.pl, sportowefakty, o2, serwisy pako, abczdrowie i parenting (tylko strony artykułowe)</v>
      </c>
      <c r="C108" s="173"/>
      <c r="D108" s="173"/>
      <c r="E108" s="173"/>
      <c r="F108" s="173"/>
      <c r="G108" s="173"/>
      <c r="H108" s="173"/>
      <c r="I108" s="173"/>
      <c r="J108" s="176"/>
      <c r="K108" s="353"/>
      <c r="L108" s="353"/>
      <c r="M108" s="353"/>
      <c r="N108" s="353"/>
      <c r="O108" s="353"/>
      <c r="P108" s="353"/>
    </row>
  </sheetData>
  <mergeCells count="180">
    <mergeCell ref="B101:C101"/>
    <mergeCell ref="D101:E101"/>
    <mergeCell ref="G1:J3"/>
    <mergeCell ref="B88:E88"/>
    <mergeCell ref="F88:H88"/>
    <mergeCell ref="B91:E92"/>
    <mergeCell ref="B89:E90"/>
    <mergeCell ref="F89:H90"/>
    <mergeCell ref="F91:H92"/>
    <mergeCell ref="F80:H80"/>
    <mergeCell ref="F66:H66"/>
    <mergeCell ref="B46:E46"/>
    <mergeCell ref="F9:H9"/>
    <mergeCell ref="F13:H13"/>
    <mergeCell ref="F25:H25"/>
    <mergeCell ref="G95:H95"/>
    <mergeCell ref="F81:H82"/>
    <mergeCell ref="C7:E8"/>
    <mergeCell ref="C29:E29"/>
    <mergeCell ref="C30:E30"/>
    <mergeCell ref="C31:E31"/>
    <mergeCell ref="F62:H62"/>
    <mergeCell ref="F49:H49"/>
    <mergeCell ref="B64:E64"/>
    <mergeCell ref="B65:E65"/>
    <mergeCell ref="B62:E62"/>
    <mergeCell ref="C32:E32"/>
    <mergeCell ref="C14:E14"/>
    <mergeCell ref="C21:E21"/>
    <mergeCell ref="B100:C100"/>
    <mergeCell ref="C25:E25"/>
    <mergeCell ref="C17:E17"/>
    <mergeCell ref="B73:E73"/>
    <mergeCell ref="B48:E48"/>
    <mergeCell ref="B52:E52"/>
    <mergeCell ref="B41:E42"/>
    <mergeCell ref="B84:E84"/>
    <mergeCell ref="B99:C99"/>
    <mergeCell ref="B98:C98"/>
    <mergeCell ref="D97:E97"/>
    <mergeCell ref="C95:C96"/>
    <mergeCell ref="C9:E9"/>
    <mergeCell ref="F7:H8"/>
    <mergeCell ref="C12:E12"/>
    <mergeCell ref="C27:E27"/>
    <mergeCell ref="F26:H26"/>
    <mergeCell ref="F35:H35"/>
    <mergeCell ref="F32:H32"/>
    <mergeCell ref="C34:E34"/>
    <mergeCell ref="F31:H31"/>
    <mergeCell ref="F21:H21"/>
    <mergeCell ref="C19:J19"/>
    <mergeCell ref="C26:E26"/>
    <mergeCell ref="F34:H34"/>
    <mergeCell ref="C28:E28"/>
    <mergeCell ref="J15:J16"/>
    <mergeCell ref="F24:H24"/>
    <mergeCell ref="C15:E15"/>
    <mergeCell ref="I7:J7"/>
    <mergeCell ref="C33:E33"/>
    <mergeCell ref="F33:H33"/>
    <mergeCell ref="F10:H10"/>
    <mergeCell ref="C10:E11"/>
    <mergeCell ref="F11:H11"/>
    <mergeCell ref="I33:J33"/>
    <mergeCell ref="I15:I16"/>
    <mergeCell ref="F22:H22"/>
    <mergeCell ref="F14:H14"/>
    <mergeCell ref="J60:J61"/>
    <mergeCell ref="I60:I61"/>
    <mergeCell ref="F64:H64"/>
    <mergeCell ref="F65:H65"/>
    <mergeCell ref="F60:H61"/>
    <mergeCell ref="F63:H63"/>
    <mergeCell ref="I36:J36"/>
    <mergeCell ref="J41:J42"/>
    <mergeCell ref="I41:I42"/>
    <mergeCell ref="I43:I52"/>
    <mergeCell ref="F51:H51"/>
    <mergeCell ref="F47:H47"/>
    <mergeCell ref="I62:I66"/>
    <mergeCell ref="F45:H45"/>
    <mergeCell ref="I34:J34"/>
    <mergeCell ref="I35:J35"/>
    <mergeCell ref="F46:H46"/>
    <mergeCell ref="F41:H42"/>
    <mergeCell ref="F44:H44"/>
    <mergeCell ref="F48:H48"/>
    <mergeCell ref="G96:H96"/>
    <mergeCell ref="F15:H16"/>
    <mergeCell ref="C22:E22"/>
    <mergeCell ref="B20:B23"/>
    <mergeCell ref="F20:H20"/>
    <mergeCell ref="B60:E61"/>
    <mergeCell ref="B45:E45"/>
    <mergeCell ref="G97:H97"/>
    <mergeCell ref="B70:E70"/>
    <mergeCell ref="F72:H72"/>
    <mergeCell ref="F73:H73"/>
    <mergeCell ref="F70:H70"/>
    <mergeCell ref="B72:E72"/>
    <mergeCell ref="B51:E51"/>
    <mergeCell ref="C35:E35"/>
    <mergeCell ref="C36:E36"/>
    <mergeCell ref="F30:H30"/>
    <mergeCell ref="F75:H75"/>
    <mergeCell ref="F84:H84"/>
    <mergeCell ref="F83:H83"/>
    <mergeCell ref="C24:E24"/>
    <mergeCell ref="F71:H71"/>
    <mergeCell ref="B71:E71"/>
    <mergeCell ref="F50:H50"/>
    <mergeCell ref="F12:H12"/>
    <mergeCell ref="B63:E63"/>
    <mergeCell ref="B12:B19"/>
    <mergeCell ref="C23:J23"/>
    <mergeCell ref="C20:E20"/>
    <mergeCell ref="B50:E50"/>
    <mergeCell ref="B81:E82"/>
    <mergeCell ref="C18:E18"/>
    <mergeCell ref="C16:E16"/>
    <mergeCell ref="F28:H28"/>
    <mergeCell ref="B66:E66"/>
    <mergeCell ref="B43:E43"/>
    <mergeCell ref="F52:H52"/>
    <mergeCell ref="B24:B33"/>
    <mergeCell ref="B34:B36"/>
    <mergeCell ref="B49:E49"/>
    <mergeCell ref="F27:H27"/>
    <mergeCell ref="F43:H43"/>
    <mergeCell ref="B44:E44"/>
    <mergeCell ref="B47:E47"/>
    <mergeCell ref="F36:H36"/>
    <mergeCell ref="F29:H29"/>
    <mergeCell ref="F17:H17"/>
    <mergeCell ref="F18:H18"/>
    <mergeCell ref="C13:E13"/>
    <mergeCell ref="D98:E98"/>
    <mergeCell ref="I99:J99"/>
    <mergeCell ref="D100:E100"/>
    <mergeCell ref="I98:J98"/>
    <mergeCell ref="G101:H101"/>
    <mergeCell ref="I101:J101"/>
    <mergeCell ref="I100:J100"/>
    <mergeCell ref="G98:H98"/>
    <mergeCell ref="G99:H99"/>
    <mergeCell ref="G100:H100"/>
    <mergeCell ref="I71:I75"/>
    <mergeCell ref="F95:F96"/>
    <mergeCell ref="B74:E74"/>
    <mergeCell ref="B80:E80"/>
    <mergeCell ref="B75:E75"/>
    <mergeCell ref="B83:E83"/>
    <mergeCell ref="F74:H74"/>
    <mergeCell ref="D95:E96"/>
    <mergeCell ref="D99:E99"/>
    <mergeCell ref="I95:J95"/>
    <mergeCell ref="B97:C97"/>
    <mergeCell ref="I96:J96"/>
    <mergeCell ref="I97:J97"/>
    <mergeCell ref="D103:E103"/>
    <mergeCell ref="D102:E102"/>
    <mergeCell ref="G106:H106"/>
    <mergeCell ref="I104:J104"/>
    <mergeCell ref="I103:J103"/>
    <mergeCell ref="G102:H102"/>
    <mergeCell ref="I106:J106"/>
    <mergeCell ref="I105:J105"/>
    <mergeCell ref="B102:C102"/>
    <mergeCell ref="B104:C104"/>
    <mergeCell ref="G104:H104"/>
    <mergeCell ref="D106:E106"/>
    <mergeCell ref="G103:H103"/>
    <mergeCell ref="I102:J102"/>
    <mergeCell ref="B106:C106"/>
    <mergeCell ref="B103:C103"/>
    <mergeCell ref="B105:C105"/>
    <mergeCell ref="D104:E104"/>
    <mergeCell ref="D105:E105"/>
    <mergeCell ref="G105:H105"/>
  </mergeCells>
  <pageMargins left="0.7" right="0.7" top="0.75" bottom="0.75" header="0.3" footer="0.3"/>
  <pageSetup paperSize="2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O66"/>
  <sheetViews>
    <sheetView zoomScaleNormal="100" workbookViewId="0">
      <pane ySplit="4" topLeftCell="A5" activePane="bottomLeft" state="frozen"/>
      <selection pane="bottomLeft"/>
    </sheetView>
  </sheetViews>
  <sheetFormatPr defaultColWidth="9.140625" defaultRowHeight="15"/>
  <cols>
    <col min="1" max="2" width="2.85546875" style="354" customWidth="1"/>
    <col min="3" max="3" width="21.42578125" style="354" customWidth="1"/>
    <col min="4" max="4" width="7.140625" style="354" customWidth="1"/>
    <col min="5" max="5" width="25.140625" style="354" customWidth="1"/>
    <col min="6" max="13" width="10" style="354" customWidth="1"/>
    <col min="14" max="15" width="12.85546875" style="354" customWidth="1"/>
    <col min="16" max="16384" width="9.140625" style="354"/>
  </cols>
  <sheetData>
    <row r="1" spans="2:13" ht="12.75" customHeight="1">
      <c r="F1" s="355"/>
      <c r="G1" s="523"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H1" s="523"/>
      <c r="I1" s="523"/>
      <c r="J1" s="523"/>
      <c r="K1" s="523"/>
      <c r="L1" s="523"/>
      <c r="M1" s="523"/>
    </row>
    <row r="2" spans="2:13" ht="12.75" customHeight="1">
      <c r="E2" s="355"/>
      <c r="F2" s="355"/>
      <c r="G2" s="523"/>
      <c r="H2" s="523"/>
      <c r="I2" s="523"/>
      <c r="J2" s="523"/>
      <c r="K2" s="523"/>
      <c r="L2" s="523"/>
      <c r="M2" s="523"/>
    </row>
    <row r="3" spans="2:13" ht="12.75" customHeight="1">
      <c r="E3" s="355"/>
      <c r="F3" s="355"/>
      <c r="G3" s="523"/>
      <c r="H3" s="523"/>
      <c r="I3" s="523"/>
      <c r="J3" s="523"/>
      <c r="K3" s="523"/>
      <c r="L3" s="523"/>
      <c r="M3" s="523"/>
    </row>
    <row r="4" spans="2:13" s="382" customFormat="1" ht="12.75" customHeight="1">
      <c r="C4" s="383" t="str">
        <f>IF('Język - Language'!$B$30="Polski","            Reklama mobilna","            Mobile Advertising")</f>
        <v xml:space="preserve">            Reklama mobilna</v>
      </c>
      <c r="D4" s="383"/>
      <c r="J4" s="340"/>
      <c r="K4" s="393"/>
      <c r="M4" s="420" t="str">
        <f>IF('Język - Language'!$B$30="Polski","PL","EN")</f>
        <v>PL</v>
      </c>
    </row>
    <row r="5" spans="2:13" ht="12.75" customHeight="1"/>
    <row r="6" spans="2:13" ht="12.75" customHeight="1"/>
    <row r="7" spans="2:13" ht="12.75" customHeight="1">
      <c r="C7" s="424" t="s">
        <v>202</v>
      </c>
    </row>
    <row r="8" spans="2:13" ht="12.75" customHeight="1"/>
    <row r="9" spans="2:13" ht="12.75" customHeight="1">
      <c r="C9" s="669" t="s">
        <v>49</v>
      </c>
      <c r="D9" s="669"/>
      <c r="E9" s="669" t="s">
        <v>50</v>
      </c>
      <c r="F9" s="669"/>
      <c r="G9" s="669"/>
      <c r="H9" s="669" t="s">
        <v>51</v>
      </c>
      <c r="I9" s="669"/>
      <c r="J9" s="683" t="s">
        <v>52</v>
      </c>
      <c r="K9" s="683"/>
      <c r="L9" s="683"/>
      <c r="M9" s="680"/>
    </row>
    <row r="10" spans="2:13" ht="12.75" customHeight="1">
      <c r="C10" s="669"/>
      <c r="D10" s="669"/>
      <c r="E10" s="669"/>
      <c r="F10" s="669"/>
      <c r="G10" s="669"/>
      <c r="H10" s="669"/>
      <c r="I10" s="669"/>
      <c r="J10" s="694"/>
      <c r="K10" s="694"/>
      <c r="L10" s="694"/>
      <c r="M10" s="695"/>
    </row>
    <row r="11" spans="2:13" ht="9" customHeight="1">
      <c r="B11" s="384"/>
      <c r="C11" s="724" t="str">
        <f>'Flat Fee'!C8</f>
        <v xml:space="preserve">   WP SG</v>
      </c>
      <c r="D11" s="725"/>
      <c r="E11" s="580" t="str">
        <f>'Flat Fee'!D8</f>
        <v>Mobile Panel Premium</v>
      </c>
      <c r="F11" s="581"/>
      <c r="G11" s="582"/>
      <c r="H11" s="698" t="str">
        <f>'Flat Fee'!E8</f>
        <v>Flat Fee / dzień</v>
      </c>
      <c r="I11" s="699"/>
      <c r="J11" s="692" t="str">
        <f>'Multiscreen. Cross-Device'!I8</f>
        <v>styczeń-październik</v>
      </c>
      <c r="K11" s="693"/>
      <c r="L11" s="690" t="str">
        <f>'Multiscreen. Cross-Device'!J8</f>
        <v>listopad-grudzień</v>
      </c>
      <c r="M11" s="691"/>
    </row>
    <row r="12" spans="2:13" ht="16.5" customHeight="1">
      <c r="B12" s="384"/>
      <c r="C12" s="724"/>
      <c r="D12" s="725"/>
      <c r="E12" s="660"/>
      <c r="F12" s="661"/>
      <c r="G12" s="662"/>
      <c r="H12" s="700"/>
      <c r="I12" s="701"/>
      <c r="J12" s="687">
        <v>120000</v>
      </c>
      <c r="K12" s="689"/>
      <c r="L12" s="687">
        <v>140000</v>
      </c>
      <c r="M12" s="689"/>
    </row>
    <row r="13" spans="2:13" ht="25.5" customHeight="1">
      <c r="B13" s="384"/>
      <c r="C13" s="724"/>
      <c r="D13" s="725"/>
      <c r="E13" s="726" t="s">
        <v>205</v>
      </c>
      <c r="F13" s="727"/>
      <c r="G13" s="728"/>
      <c r="H13" s="702" t="s">
        <v>32</v>
      </c>
      <c r="I13" s="703"/>
      <c r="J13" s="696">
        <v>135000</v>
      </c>
      <c r="K13" s="697"/>
      <c r="L13" s="696">
        <v>160000</v>
      </c>
      <c r="M13" s="697"/>
    </row>
    <row r="14" spans="2:13" ht="25.5" customHeight="1">
      <c r="B14" s="384"/>
      <c r="C14" s="724"/>
      <c r="D14" s="725"/>
      <c r="E14" s="726" t="str">
        <f>'Flat Fee'!F54</f>
        <v>Rectangle</v>
      </c>
      <c r="F14" s="727"/>
      <c r="G14" s="728"/>
      <c r="H14" s="702" t="str">
        <f>'Flat Fee'!E54</f>
        <v>Flat Fee / dzień</v>
      </c>
      <c r="I14" s="703"/>
      <c r="J14" s="696">
        <v>50000</v>
      </c>
      <c r="K14" s="697"/>
      <c r="L14" s="696">
        <f>'Flat Fee'!H54</f>
        <v>60000</v>
      </c>
      <c r="M14" s="697"/>
    </row>
    <row r="15" spans="2:13" ht="25.5" customHeight="1">
      <c r="B15" s="384"/>
      <c r="C15" s="724"/>
      <c r="D15" s="725"/>
      <c r="E15" s="726" t="str">
        <f>'Flat Fee'!F55</f>
        <v>Halfpage</v>
      </c>
      <c r="F15" s="727"/>
      <c r="G15" s="728"/>
      <c r="H15" s="702" t="str">
        <f>'Flat Fee'!E55</f>
        <v>Flat Fee / dzień</v>
      </c>
      <c r="I15" s="703"/>
      <c r="J15" s="696">
        <v>100000</v>
      </c>
      <c r="K15" s="697"/>
      <c r="L15" s="696">
        <v>120000</v>
      </c>
      <c r="M15" s="697"/>
    </row>
    <row r="16" spans="2:13" ht="25.5" customHeight="1">
      <c r="B16" s="384"/>
      <c r="C16" s="724"/>
      <c r="D16" s="725"/>
      <c r="E16" s="726" t="str">
        <f>'Flat Fee'!F56</f>
        <v>Paralaksa</v>
      </c>
      <c r="F16" s="727"/>
      <c r="G16" s="728"/>
      <c r="H16" s="702" t="str">
        <f>'Flat Fee'!E56</f>
        <v>Flat Fee / dzień</v>
      </c>
      <c r="I16" s="703"/>
      <c r="J16" s="696">
        <v>65000</v>
      </c>
      <c r="K16" s="697"/>
      <c r="L16" s="696">
        <v>75000</v>
      </c>
      <c r="M16" s="697"/>
    </row>
    <row r="17" spans="2:13" ht="25.5" customHeight="1">
      <c r="B17" s="384"/>
      <c r="C17" s="718"/>
      <c r="D17" s="719"/>
      <c r="E17" s="729" t="s">
        <v>54</v>
      </c>
      <c r="F17" s="730"/>
      <c r="G17" s="731"/>
      <c r="H17" s="714" t="s">
        <v>32</v>
      </c>
      <c r="I17" s="715"/>
      <c r="J17" s="704">
        <v>130000</v>
      </c>
      <c r="K17" s="705"/>
      <c r="L17" s="704">
        <v>155000</v>
      </c>
      <c r="M17" s="705"/>
    </row>
    <row r="18" spans="2:13" ht="16.5" customHeight="1">
      <c r="B18" s="384"/>
      <c r="C18" s="732" t="s">
        <v>55</v>
      </c>
      <c r="D18" s="733"/>
      <c r="E18" s="657" t="s">
        <v>56</v>
      </c>
      <c r="F18" s="658"/>
      <c r="G18" s="659"/>
      <c r="H18" s="749" t="s">
        <v>32</v>
      </c>
      <c r="I18" s="750"/>
      <c r="J18" s="751">
        <v>115000</v>
      </c>
      <c r="K18" s="752"/>
      <c r="L18" s="752"/>
      <c r="M18" s="753"/>
    </row>
    <row r="19" spans="2:13" ht="37.5" customHeight="1">
      <c r="B19" s="384"/>
      <c r="C19" s="741" t="str">
        <f>'Multiscreen. Cross-Device'!D97</f>
        <v>WP Facet, WP Teleshow, WP Film, WP Opinie, WP Turystyka, WP Gwiazdy, WP Gry, WP Wiadomości, WP Kuchnia, WP Finanse, WP Dom, WP Moto, WP Kobieta, WP Tech, WP Książki, Wawalove</v>
      </c>
      <c r="D19" s="742"/>
      <c r="E19" s="660"/>
      <c r="F19" s="661"/>
      <c r="G19" s="662"/>
      <c r="H19" s="700"/>
      <c r="I19" s="701"/>
      <c r="J19" s="687"/>
      <c r="K19" s="688"/>
      <c r="L19" s="688"/>
      <c r="M19" s="689"/>
    </row>
    <row r="20" spans="2:13" ht="25.5" customHeight="1">
      <c r="B20" s="384"/>
      <c r="C20" s="737" t="s">
        <v>57</v>
      </c>
      <c r="D20" s="738"/>
      <c r="E20" s="726" t="s">
        <v>56</v>
      </c>
      <c r="F20" s="727"/>
      <c r="G20" s="728"/>
      <c r="H20" s="702" t="s">
        <v>32</v>
      </c>
      <c r="I20" s="703"/>
      <c r="J20" s="696">
        <v>85000</v>
      </c>
      <c r="K20" s="734"/>
      <c r="L20" s="734"/>
      <c r="M20" s="697"/>
    </row>
    <row r="21" spans="2:13" ht="25.5" customHeight="1">
      <c r="B21" s="384"/>
      <c r="C21" s="716" t="str">
        <f>IF('Język - Language'!$B$30="Polski","Poczta WP / strona logowania","WP Email Service / login page")</f>
        <v>Poczta WP / strona logowania</v>
      </c>
      <c r="D21" s="717"/>
      <c r="E21" s="663" t="str">
        <f>'Poczta - Email service'!C11</f>
        <v>Mobile Login Box</v>
      </c>
      <c r="F21" s="664"/>
      <c r="G21" s="665"/>
      <c r="H21" s="698" t="str">
        <f>IF('Język - Language'!$B$30="Polski","Flat Fee / tydzień","Flat Fee / 1 week")</f>
        <v>Flat Fee / tydzień</v>
      </c>
      <c r="I21" s="699"/>
      <c r="J21" s="684">
        <f>'Poczta - Email service'!F11</f>
        <v>240000</v>
      </c>
      <c r="K21" s="685"/>
      <c r="L21" s="685"/>
      <c r="M21" s="686"/>
    </row>
    <row r="22" spans="2:13" ht="25.5" customHeight="1">
      <c r="B22" s="384"/>
      <c r="C22" s="735" t="str">
        <f>IF('Język - Language'!$B$30="Polski","Poczta o2 / strona logowania","o2 Email Service / login page")</f>
        <v>Poczta o2 / strona logowania</v>
      </c>
      <c r="D22" s="736"/>
      <c r="E22" s="660"/>
      <c r="F22" s="661"/>
      <c r="G22" s="662"/>
      <c r="H22" s="700"/>
      <c r="I22" s="701"/>
      <c r="J22" s="687">
        <f>'Poczta - Email service'!G11</f>
        <v>70000</v>
      </c>
      <c r="K22" s="688"/>
      <c r="L22" s="688"/>
      <c r="M22" s="689"/>
    </row>
    <row r="23" spans="2:13" ht="25.5" customHeight="1">
      <c r="B23" s="384"/>
      <c r="C23" s="716" t="s">
        <v>58</v>
      </c>
      <c r="D23" s="717"/>
      <c r="E23" s="663" t="s">
        <v>59</v>
      </c>
      <c r="F23" s="664"/>
      <c r="G23" s="665"/>
      <c r="H23" s="720" t="s">
        <v>33</v>
      </c>
      <c r="I23" s="721"/>
      <c r="J23" s="743">
        <v>150000</v>
      </c>
      <c r="K23" s="744"/>
      <c r="L23" s="744"/>
      <c r="M23" s="745"/>
    </row>
    <row r="24" spans="2:13" ht="25.5" customHeight="1">
      <c r="B24" s="384"/>
      <c r="C24" s="718" t="s">
        <v>60</v>
      </c>
      <c r="D24" s="719"/>
      <c r="E24" s="625"/>
      <c r="F24" s="626"/>
      <c r="G24" s="627"/>
      <c r="H24" s="722"/>
      <c r="I24" s="723"/>
      <c r="J24" s="746">
        <v>70000</v>
      </c>
      <c r="K24" s="747"/>
      <c r="L24" s="747"/>
      <c r="M24" s="748"/>
    </row>
    <row r="25" spans="2:13">
      <c r="B25" s="16"/>
      <c r="C25" s="421"/>
      <c r="D25" s="421"/>
      <c r="E25" s="435"/>
      <c r="F25" s="368"/>
      <c r="G25" s="368"/>
      <c r="H25" s="460"/>
      <c r="I25" s="460"/>
      <c r="J25" s="460"/>
      <c r="K25" s="460"/>
    </row>
    <row r="26" spans="2:13">
      <c r="B26" s="16"/>
      <c r="C26" s="421"/>
      <c r="D26" s="421"/>
      <c r="E26" s="422"/>
      <c r="F26" s="368"/>
      <c r="G26" s="368"/>
      <c r="H26" s="368"/>
      <c r="I26" s="368"/>
      <c r="J26" s="368"/>
      <c r="K26" s="368"/>
    </row>
    <row r="27" spans="2:13">
      <c r="B27" s="16"/>
      <c r="C27" s="423" t="s">
        <v>61</v>
      </c>
      <c r="D27" s="421"/>
      <c r="E27" s="422"/>
      <c r="F27" s="368"/>
      <c r="G27" s="368"/>
      <c r="H27" s="368"/>
      <c r="I27" s="368"/>
      <c r="J27" s="368"/>
      <c r="K27" s="368"/>
    </row>
    <row r="28" spans="2:13" ht="12.75" customHeight="1"/>
    <row r="29" spans="2:13" ht="29.25" customHeight="1">
      <c r="C29" s="683" t="str">
        <f>'Serwisy &amp; Pakiety'!C21</f>
        <v>KATEGORIE</v>
      </c>
      <c r="D29" s="683" t="str">
        <f>'Serwisy &amp; Pakiety'!D21</f>
        <v>MIEJSCE EMISJI</v>
      </c>
      <c r="E29" s="683"/>
      <c r="F29" s="683" t="str">
        <f>'Serwisy &amp; Pakiety'!G23</f>
        <v>MOBILE RECTANGLE</v>
      </c>
      <c r="G29" s="683"/>
      <c r="H29" s="683" t="str">
        <f>'Serwisy &amp; Pakiety'!I24</f>
        <v>MOBILE BANNER GÓRNY</v>
      </c>
      <c r="I29" s="683"/>
      <c r="J29" s="683" t="str">
        <f>'Serwisy &amp; Pakiety'!M23</f>
        <v>MOBILE SCREENING³</v>
      </c>
      <c r="K29" s="680"/>
      <c r="L29" s="679" t="str">
        <f>'Serwisy &amp; Pakiety'!O23</f>
        <v>COMMERCIAL BREAK³</v>
      </c>
      <c r="M29" s="680"/>
    </row>
    <row r="30" spans="2:13" ht="25.5" customHeight="1">
      <c r="C30" s="683"/>
      <c r="D30" s="683"/>
      <c r="E30" s="683"/>
      <c r="F30" s="683" t="str">
        <f>'Serwisy &amp; Pakiety'!G25</f>
        <v>rozliczenie za widzialne odsłony wg standardu IAB¹</v>
      </c>
      <c r="G30" s="683"/>
      <c r="H30" s="683"/>
      <c r="I30" s="683"/>
      <c r="J30" s="683"/>
      <c r="K30" s="683"/>
      <c r="L30" s="683"/>
      <c r="M30" s="680"/>
    </row>
    <row r="31" spans="2:13" ht="12.75" customHeight="1">
      <c r="C31" s="683"/>
      <c r="D31" s="683"/>
      <c r="E31" s="683"/>
      <c r="F31" s="453" t="str">
        <f>'Serwisy &amp; Pakiety'!G26</f>
        <v>STAT. WEW.</v>
      </c>
      <c r="G31" s="392" t="str">
        <f>'Serwisy &amp; Pakiety'!H26</f>
        <v>STAT. ZEW.</v>
      </c>
      <c r="H31" s="453" t="str">
        <f>'Serwisy &amp; Pakiety'!I26</f>
        <v>STAT. WEW.</v>
      </c>
      <c r="I31" s="392" t="str">
        <f>'Serwisy &amp; Pakiety'!J26</f>
        <v>STAT. ZEW.</v>
      </c>
      <c r="J31" s="453" t="str">
        <f>'Serwisy &amp; Pakiety'!M26</f>
        <v>STAT. WEW.</v>
      </c>
      <c r="K31" s="392" t="str">
        <f>'Serwisy &amp; Pakiety'!N26</f>
        <v>STAT. ZEW.</v>
      </c>
      <c r="L31" s="452" t="str">
        <f>'Serwisy &amp; Pakiety'!O26</f>
        <v>STAT. WEW.</v>
      </c>
      <c r="M31" s="394" t="str">
        <f>'Serwisy &amp; Pakiety'!P26</f>
        <v>STAT. ZEW.</v>
      </c>
    </row>
    <row r="32" spans="2:13" ht="25.5" customHeight="1">
      <c r="B32" s="384"/>
      <c r="C32" s="391" t="str">
        <f>'Serwisy &amp; Pakiety'!C27</f>
        <v>WPM ZASIĘG</v>
      </c>
      <c r="D32" s="741" t="str">
        <f>'Serwisy &amp; Pakiety'!D27:F27</f>
        <v>WPM Zasięg (bez stron głównych o2 i WP oraz bez serwisów pocztowych)</v>
      </c>
      <c r="E32" s="742"/>
      <c r="F32" s="498">
        <f>'Serwisy &amp; Pakiety'!G27</f>
        <v>27</v>
      </c>
      <c r="G32" s="416">
        <f>'Serwisy &amp; Pakiety'!H27</f>
        <v>32.4</v>
      </c>
      <c r="H32" s="498">
        <f>'Serwisy &amp; Pakiety'!I27</f>
        <v>40.5</v>
      </c>
      <c r="I32" s="416">
        <f>'Serwisy &amp; Pakiety'!J27</f>
        <v>48.6</v>
      </c>
      <c r="J32" s="498" t="str">
        <f>'Serwisy &amp; Pakiety'!M27</f>
        <v>-</v>
      </c>
      <c r="K32" s="416" t="str">
        <f>'Serwisy &amp; Pakiety'!N27</f>
        <v>-</v>
      </c>
      <c r="L32" s="498" t="str">
        <f>'Serwisy &amp; Pakiety'!O27</f>
        <v>-</v>
      </c>
      <c r="M32" s="416" t="str">
        <f>'Serwisy &amp; Pakiety'!P27</f>
        <v>-</v>
      </c>
    </row>
    <row r="33" spans="2:13" ht="25.5" customHeight="1">
      <c r="B33" s="384"/>
      <c r="C33" s="389" t="str">
        <f>'Serwisy &amp; Pakiety'!C28</f>
        <v>PREMIUM HP</v>
      </c>
      <c r="D33" s="706" t="s">
        <v>206</v>
      </c>
      <c r="E33" s="707"/>
      <c r="F33" s="500" t="str">
        <f>'Serwisy &amp; Pakiety'!G28</f>
        <v>-</v>
      </c>
      <c r="G33" s="415" t="str">
        <f>'Serwisy &amp; Pakiety'!H28</f>
        <v>-</v>
      </c>
      <c r="H33" s="500">
        <f>'Serwisy &amp; Pakiety'!I28</f>
        <v>80</v>
      </c>
      <c r="I33" s="415">
        <f>'Serwisy &amp; Pakiety'!J28</f>
        <v>96</v>
      </c>
      <c r="J33" s="500">
        <f>'Serwisy &amp; Pakiety'!M28</f>
        <v>125</v>
      </c>
      <c r="K33" s="418">
        <f>'Serwisy &amp; Pakiety'!N28</f>
        <v>150</v>
      </c>
      <c r="L33" s="498" t="str">
        <f>'Serwisy &amp; Pakiety'!O28</f>
        <v>-</v>
      </c>
      <c r="M33" s="415" t="str">
        <f>'Serwisy &amp; Pakiety'!P28</f>
        <v>-</v>
      </c>
    </row>
    <row r="34" spans="2:13" ht="25.5" customHeight="1">
      <c r="B34" s="384"/>
      <c r="C34" s="389" t="str">
        <f>'Serwisy &amp; Pakiety'!C29</f>
        <v>WYBRANY SERWIS⁴</v>
      </c>
      <c r="D34" s="706">
        <f>'Serwisy &amp; Pakiety'!D29:F29</f>
        <v>0</v>
      </c>
      <c r="E34" s="707"/>
      <c r="F34" s="670" t="str">
        <f>'Serwisy &amp; Pakiety'!G29</f>
        <v>+30% do ceny wybranej kategorii (+100% w przypadku serwisu Pudelek.pl)</v>
      </c>
      <c r="G34" s="671"/>
      <c r="H34" s="671"/>
      <c r="I34" s="671"/>
      <c r="J34" s="671"/>
      <c r="K34" s="671"/>
      <c r="L34" s="671"/>
      <c r="M34" s="672"/>
    </row>
    <row r="35" spans="2:13" ht="25.5" customHeight="1">
      <c r="B35" s="384"/>
      <c r="C35" s="389" t="str">
        <f>'Serwisy &amp; Pakiety'!C30</f>
        <v>BIZNES</v>
      </c>
      <c r="D35" s="706">
        <f>'Serwisy &amp; Pakiety'!D29:F29</f>
        <v>0</v>
      </c>
      <c r="E35" s="707"/>
      <c r="F35" s="500">
        <f>'Serwisy &amp; Pakiety'!G30</f>
        <v>90</v>
      </c>
      <c r="G35" s="415">
        <f>'Serwisy &amp; Pakiety'!H30</f>
        <v>108</v>
      </c>
      <c r="H35" s="500">
        <f>'Serwisy &amp; Pakiety'!I30</f>
        <v>135</v>
      </c>
      <c r="I35" s="415">
        <f>'Serwisy &amp; Pakiety'!J30</f>
        <v>162</v>
      </c>
      <c r="J35" s="500">
        <f>'Serwisy &amp; Pakiety'!M30</f>
        <v>210</v>
      </c>
      <c r="K35" s="415">
        <f>'Serwisy &amp; Pakiety'!N30</f>
        <v>252</v>
      </c>
      <c r="L35" s="500">
        <f>'Serwisy &amp; Pakiety'!O30</f>
        <v>235</v>
      </c>
      <c r="M35" s="415">
        <f>'Serwisy &amp; Pakiety'!P30</f>
        <v>282</v>
      </c>
    </row>
    <row r="36" spans="2:13" ht="25.5" customHeight="1">
      <c r="B36" s="384"/>
      <c r="C36" s="389" t="str">
        <f>'Serwisy &amp; Pakiety'!C31</f>
        <v>INFO I SPORT</v>
      </c>
      <c r="D36" s="706" t="str">
        <f>'Serwisy &amp; Pakiety'!D31:F31</f>
        <v>WP Wiadomości, WP Opinie, WP Pogoda, WP SportoweFakty, Wawalove</v>
      </c>
      <c r="E36" s="707"/>
      <c r="F36" s="500">
        <f>'Serwisy &amp; Pakiety'!G31</f>
        <v>55</v>
      </c>
      <c r="G36" s="415">
        <f>'Serwisy &amp; Pakiety'!H31</f>
        <v>65</v>
      </c>
      <c r="H36" s="500">
        <f>'Serwisy &amp; Pakiety'!I31</f>
        <v>80</v>
      </c>
      <c r="I36" s="415">
        <f>'Serwisy &amp; Pakiety'!J31</f>
        <v>96</v>
      </c>
      <c r="J36" s="500">
        <f>'Serwisy &amp; Pakiety'!M31</f>
        <v>125</v>
      </c>
      <c r="K36" s="415">
        <f>'Serwisy &amp; Pakiety'!N31</f>
        <v>150</v>
      </c>
      <c r="L36" s="500">
        <f>'Serwisy &amp; Pakiety'!O31</f>
        <v>145</v>
      </c>
      <c r="M36" s="415">
        <f>'Serwisy &amp; Pakiety'!P31</f>
        <v>175</v>
      </c>
    </row>
    <row r="37" spans="2:13" ht="25.5" customHeight="1">
      <c r="B37" s="384"/>
      <c r="C37" s="389" t="str">
        <f>'Serwisy &amp; Pakiety'!C32</f>
        <v>MOTORYZACJA</v>
      </c>
      <c r="D37" s="706" t="str">
        <f>'Serwisy &amp; Pakiety'!D32:F32</f>
        <v>WP Autokult, WP Moto</v>
      </c>
      <c r="E37" s="707"/>
      <c r="F37" s="500">
        <f>'Serwisy &amp; Pakiety'!G32</f>
        <v>45</v>
      </c>
      <c r="G37" s="415">
        <f>'Serwisy &amp; Pakiety'!H32</f>
        <v>54</v>
      </c>
      <c r="H37" s="500">
        <f>'Serwisy &amp; Pakiety'!I32</f>
        <v>68</v>
      </c>
      <c r="I37" s="415">
        <f>'Serwisy &amp; Pakiety'!J32</f>
        <v>81</v>
      </c>
      <c r="J37" s="500">
        <f>'Serwisy &amp; Pakiety'!M32</f>
        <v>106</v>
      </c>
      <c r="K37" s="415">
        <f>'Serwisy &amp; Pakiety'!N32</f>
        <v>127</v>
      </c>
      <c r="L37" s="500">
        <f>'Serwisy &amp; Pakiety'!O32</f>
        <v>120</v>
      </c>
      <c r="M37" s="415">
        <f>'Serwisy &amp; Pakiety'!P32</f>
        <v>144</v>
      </c>
    </row>
    <row r="38" spans="2:13" ht="25.5" customHeight="1">
      <c r="B38" s="384"/>
      <c r="C38" s="454" t="str">
        <f>'Serwisy &amp; Pakiety'!C33</f>
        <v>ROZRYWKA</v>
      </c>
      <c r="D38" s="706" t="str">
        <f>'Serwisy &amp; Pakiety'!D33:F33</f>
        <v>WP Film, WP Gwiazdy, WP Książki, WP Program TV, WP Teleshow, Pudelek, o2 serwisy, o2 warstwy</v>
      </c>
      <c r="E38" s="707"/>
      <c r="F38" s="500">
        <f>'Serwisy &amp; Pakiety'!G33</f>
        <v>30</v>
      </c>
      <c r="G38" s="415">
        <f>'Serwisy &amp; Pakiety'!H33</f>
        <v>36</v>
      </c>
      <c r="H38" s="500">
        <f>'Serwisy &amp; Pakiety'!I33</f>
        <v>45</v>
      </c>
      <c r="I38" s="415">
        <f>'Serwisy &amp; Pakiety'!J33</f>
        <v>54</v>
      </c>
      <c r="J38" s="500">
        <f>'Serwisy &amp; Pakiety'!M33</f>
        <v>70</v>
      </c>
      <c r="K38" s="415">
        <f>'Serwisy &amp; Pakiety'!N33</f>
        <v>84</v>
      </c>
      <c r="L38" s="500">
        <f>'Serwisy &amp; Pakiety'!O33</f>
        <v>78</v>
      </c>
      <c r="M38" s="415">
        <f>'Serwisy &amp; Pakiety'!P33</f>
        <v>94</v>
      </c>
    </row>
    <row r="39" spans="2:13" ht="25.5" customHeight="1">
      <c r="B39" s="384"/>
      <c r="C39" s="389" t="str">
        <f>'Serwisy &amp; Pakiety'!C34</f>
        <v>STYL ŻYCIA</v>
      </c>
      <c r="D39" s="706" t="str">
        <f>'Serwisy &amp; Pakiety'!D34:F34</f>
        <v>WP Facet, WP Kobieta, Kafeteria.pl, WP Kuchnia, WP Turystyka</v>
      </c>
      <c r="E39" s="707"/>
      <c r="F39" s="500">
        <f>'Serwisy &amp; Pakiety'!G34</f>
        <v>45</v>
      </c>
      <c r="G39" s="415">
        <f>'Serwisy &amp; Pakiety'!H34</f>
        <v>54</v>
      </c>
      <c r="H39" s="500">
        <f>'Serwisy &amp; Pakiety'!I34</f>
        <v>68</v>
      </c>
      <c r="I39" s="415">
        <f>'Serwisy &amp; Pakiety'!J34</f>
        <v>81</v>
      </c>
      <c r="J39" s="500">
        <f>'Serwisy &amp; Pakiety'!M34</f>
        <v>106</v>
      </c>
      <c r="K39" s="415">
        <f>'Serwisy &amp; Pakiety'!N34</f>
        <v>127</v>
      </c>
      <c r="L39" s="500">
        <f>'Serwisy &amp; Pakiety'!O34</f>
        <v>120</v>
      </c>
      <c r="M39" s="415">
        <f>'Serwisy &amp; Pakiety'!P34</f>
        <v>144</v>
      </c>
    </row>
    <row r="40" spans="2:13" ht="25.5" customHeight="1">
      <c r="B40" s="384"/>
      <c r="C40" s="389" t="str">
        <f>'Serwisy &amp; Pakiety'!C35</f>
        <v>TECHNOLOGIA</v>
      </c>
      <c r="D40" s="706" t="str">
        <f>'Serwisy &amp; Pakiety'!D35:F35</f>
        <v>WP Tech, WP Gry, WP Fotoblogia, WP Gadżetomania, WP Komórkomania, dobreprogramy.pl⁵</v>
      </c>
      <c r="E40" s="707"/>
      <c r="F40" s="500">
        <f>'Serwisy &amp; Pakiety'!G35</f>
        <v>45</v>
      </c>
      <c r="G40" s="415">
        <f>'Serwisy &amp; Pakiety'!H35</f>
        <v>54</v>
      </c>
      <c r="H40" s="500">
        <f>'Serwisy &amp; Pakiety'!I35</f>
        <v>68</v>
      </c>
      <c r="I40" s="415">
        <f>'Serwisy &amp; Pakiety'!J35</f>
        <v>81</v>
      </c>
      <c r="J40" s="500">
        <f>'Serwisy &amp; Pakiety'!M35</f>
        <v>106</v>
      </c>
      <c r="K40" s="415">
        <f>'Serwisy &amp; Pakiety'!N35</f>
        <v>127</v>
      </c>
      <c r="L40" s="500">
        <f>'Serwisy &amp; Pakiety'!O35</f>
        <v>120</v>
      </c>
      <c r="M40" s="415">
        <f>'Serwisy &amp; Pakiety'!P35</f>
        <v>144</v>
      </c>
    </row>
    <row r="41" spans="2:13" ht="25.5" customHeight="1">
      <c r="B41" s="384"/>
      <c r="C41" s="389" t="str">
        <f>'Serwisy &amp; Pakiety'!C36</f>
        <v>ZDROWIE I PARENTING</v>
      </c>
      <c r="D41" s="706" t="str">
        <f>'Serwisy &amp; Pakiety'!D36:F36</f>
        <v>WP abcZdrowie, WP Fitness, WP Jejswiat, WP Parenting, Medycyna24, Nerwica.com</v>
      </c>
      <c r="E41" s="707"/>
      <c r="F41" s="500">
        <f>'Serwisy &amp; Pakiety'!G36</f>
        <v>82.5</v>
      </c>
      <c r="G41" s="415">
        <f>'Serwisy &amp; Pakiety'!H36</f>
        <v>99</v>
      </c>
      <c r="H41" s="500">
        <f>'Serwisy &amp; Pakiety'!I36</f>
        <v>120</v>
      </c>
      <c r="I41" s="415">
        <f>'Serwisy &amp; Pakiety'!J36</f>
        <v>144</v>
      </c>
      <c r="J41" s="500">
        <f>'Serwisy &amp; Pakiety'!M36</f>
        <v>187</v>
      </c>
      <c r="K41" s="415">
        <f>'Serwisy &amp; Pakiety'!N36</f>
        <v>224</v>
      </c>
      <c r="L41" s="500">
        <f>'Serwisy &amp; Pakiety'!O36</f>
        <v>210</v>
      </c>
      <c r="M41" s="415">
        <f>'Serwisy &amp; Pakiety'!P36</f>
        <v>252</v>
      </c>
    </row>
    <row r="42" spans="2:13" ht="25.5" customHeight="1">
      <c r="B42" s="384"/>
      <c r="C42" s="389" t="str">
        <f>'Serwisy &amp; Pakiety'!C37</f>
        <v>WIDEO I AUDIO</v>
      </c>
      <c r="D42" s="706" t="str">
        <f>'Serwisy &amp; Pakiety'!D37:F37</f>
        <v>WP Pilot, WP Wideo, OpenFM</v>
      </c>
      <c r="E42" s="707"/>
      <c r="F42" s="500">
        <f>'Serwisy &amp; Pakiety'!G37</f>
        <v>45</v>
      </c>
      <c r="G42" s="415">
        <f>'Serwisy &amp; Pakiety'!H37</f>
        <v>54</v>
      </c>
      <c r="H42" s="500">
        <f>'Serwisy &amp; Pakiety'!I37</f>
        <v>68</v>
      </c>
      <c r="I42" s="415">
        <f>'Serwisy &amp; Pakiety'!J37</f>
        <v>81</v>
      </c>
      <c r="J42" s="500">
        <f>'Serwisy &amp; Pakiety'!M37</f>
        <v>106</v>
      </c>
      <c r="K42" s="415">
        <f>'Serwisy &amp; Pakiety'!N37</f>
        <v>127</v>
      </c>
      <c r="L42" s="500">
        <f>'Serwisy &amp; Pakiety'!O37</f>
        <v>120</v>
      </c>
      <c r="M42" s="415">
        <f>'Serwisy &amp; Pakiety'!P37</f>
        <v>144</v>
      </c>
    </row>
    <row r="43" spans="2:13" ht="25.5" customHeight="1">
      <c r="B43" s="384"/>
      <c r="C43" s="390" t="str">
        <f>'Serwisy &amp; Pakiety'!C38</f>
        <v>PAKIET SPECJALNY</v>
      </c>
      <c r="D43" s="708" t="str">
        <f>'Serwisy &amp; Pakiety'!D38:F38</f>
        <v>Min. 4 wybrane serwisy - BEZ SERWISÓW KATEGORII BIZNES oraz ZDROWIE I PRENTING</v>
      </c>
      <c r="E43" s="709"/>
      <c r="F43" s="499">
        <f>'Serwisy &amp; Pakiety'!G38</f>
        <v>66.5</v>
      </c>
      <c r="G43" s="417">
        <f>'Serwisy &amp; Pakiety'!H38</f>
        <v>79.800000000000011</v>
      </c>
      <c r="H43" s="499">
        <f>'Serwisy &amp; Pakiety'!I38</f>
        <v>85.5</v>
      </c>
      <c r="I43" s="417">
        <f>'Serwisy &amp; Pakiety'!J38</f>
        <v>102.60000000000001</v>
      </c>
      <c r="J43" s="499">
        <f>'Serwisy &amp; Pakiety'!M38</f>
        <v>135</v>
      </c>
      <c r="K43" s="417">
        <f>'Serwisy &amp; Pakiety'!N38</f>
        <v>162</v>
      </c>
      <c r="L43" s="499">
        <f>'Serwisy &amp; Pakiety'!O38</f>
        <v>150</v>
      </c>
      <c r="M43" s="417">
        <f>'Serwisy &amp; Pakiety'!P38</f>
        <v>180</v>
      </c>
    </row>
    <row r="44" spans="2:13">
      <c r="B44" s="16"/>
      <c r="C44" s="422" t="str">
        <f>'Serwisy &amp; Pakiety'!C39</f>
        <v>¹ ceny dotyczą rozliczenia vCPM zgodnego ze standardem IAB, dla innych standardów obowiązuje wycena indywidualna</v>
      </c>
      <c r="D44" s="503"/>
      <c r="E44" s="503"/>
      <c r="F44" s="377"/>
      <c r="G44" s="377"/>
      <c r="H44" s="377"/>
      <c r="I44" s="377"/>
      <c r="J44" s="377"/>
      <c r="K44" s="377"/>
      <c r="L44" s="377"/>
      <c r="M44" s="377"/>
    </row>
    <row r="45" spans="2:13">
      <c r="B45" s="16"/>
      <c r="C45" s="422" t="str">
        <f>'Serwisy &amp; Pakiety'!C41</f>
        <v>³ Format dostępny na wybranych serwisach</v>
      </c>
      <c r="D45" s="503"/>
      <c r="E45" s="503"/>
      <c r="F45" s="377"/>
      <c r="G45" s="377"/>
      <c r="H45" s="377"/>
      <c r="I45" s="377"/>
      <c r="J45" s="377"/>
      <c r="K45" s="377"/>
      <c r="L45" s="377"/>
      <c r="M45" s="377"/>
    </row>
    <row r="46" spans="2:13">
      <c r="B46" s="16"/>
      <c r="C46" s="504" t="str">
        <f>'Serwisy &amp; Pakiety'!C42</f>
        <v>⁴ +100% do ceny wybranej kategorii w przyadku serwisu Pudelek.pl</v>
      </c>
      <c r="D46" s="503"/>
      <c r="E46" s="503"/>
      <c r="F46" s="377"/>
      <c r="G46" s="377"/>
      <c r="H46" s="377"/>
      <c r="I46" s="377"/>
      <c r="J46" s="377"/>
      <c r="K46" s="377"/>
      <c r="L46" s="377"/>
      <c r="M46" s="377"/>
    </row>
    <row r="47" spans="2:13">
      <c r="B47" s="16"/>
      <c r="C47" s="504" t="str">
        <f>'Serwisy &amp; Pakiety'!C43</f>
        <v>⁵ Screening na dobreprogramy.pl sprzedawany wyłącznie poza pakietem</v>
      </c>
      <c r="D47" s="503"/>
      <c r="E47" s="503"/>
      <c r="F47" s="377"/>
      <c r="G47" s="377"/>
      <c r="H47" s="377"/>
      <c r="I47" s="377"/>
      <c r="J47" s="377"/>
      <c r="K47" s="377"/>
      <c r="L47" s="377"/>
      <c r="M47" s="377"/>
    </row>
    <row r="48" spans="2:13">
      <c r="B48" s="16"/>
      <c r="C48" s="435"/>
      <c r="D48" s="435"/>
      <c r="E48" s="435"/>
      <c r="F48" s="368"/>
      <c r="G48" s="368"/>
      <c r="H48" s="460"/>
      <c r="I48" s="460"/>
      <c r="J48" s="460"/>
      <c r="K48" s="460"/>
    </row>
    <row r="49" spans="2:15" ht="12.75" customHeight="1">
      <c r="C49" s="424" t="s">
        <v>62</v>
      </c>
    </row>
    <row r="51" spans="2:15" ht="29.25" customHeight="1">
      <c r="C51" s="683" t="str">
        <f>DataPower!B7</f>
        <v>KATEGORIE</v>
      </c>
      <c r="D51" s="683" t="str">
        <f>DataPower!C7</f>
        <v>PRZYKŁADOWE PROFILE</v>
      </c>
      <c r="E51" s="683"/>
      <c r="F51" s="683" t="str">
        <f>DataPower!D9</f>
        <v>MOBILE RECTANGLE</v>
      </c>
      <c r="G51" s="683"/>
      <c r="H51" s="683" t="str">
        <f>DataPower!F10</f>
        <v>MOBILE BANNER GÓRNY</v>
      </c>
      <c r="I51" s="683"/>
      <c r="J51" s="683" t="str">
        <f>DataPower!J9</f>
        <v>MOBILE SCREENING³</v>
      </c>
      <c r="K51" s="680"/>
      <c r="L51" s="679" t="str">
        <f>DataPower!L9</f>
        <v>COMMERCIAL BREAK³</v>
      </c>
      <c r="M51" s="680"/>
      <c r="N51" s="679" t="str">
        <f>DataPower!N9</f>
        <v>WIDEO</v>
      </c>
      <c r="O51" s="680"/>
    </row>
    <row r="52" spans="2:15" ht="25.5" customHeight="1">
      <c r="C52" s="683"/>
      <c r="D52" s="683"/>
      <c r="E52" s="683"/>
      <c r="F52" s="683" t="str">
        <f>DataPower!D11</f>
        <v>rozliczenie za widzialne odsłony wg standardu IAB¹</v>
      </c>
      <c r="G52" s="683"/>
      <c r="H52" s="683"/>
      <c r="I52" s="683"/>
      <c r="J52" s="683"/>
      <c r="K52" s="683"/>
      <c r="L52" s="683"/>
      <c r="M52" s="680"/>
      <c r="N52" s="681" t="str">
        <f>DataPower!N11</f>
        <v>rozliczenie CPM za rozpoczęte odtworzenia⁴</v>
      </c>
      <c r="O52" s="682"/>
    </row>
    <row r="53" spans="2:15" ht="12.75" customHeight="1">
      <c r="C53" s="683"/>
      <c r="D53" s="683"/>
      <c r="E53" s="683"/>
      <c r="F53" s="453" t="str">
        <f>DataPower!D12</f>
        <v>STAT. WEW.</v>
      </c>
      <c r="G53" s="392" t="str">
        <f>DataPower!E12</f>
        <v>STAT. ZEW.</v>
      </c>
      <c r="H53" s="453" t="str">
        <f>DataPower!F12</f>
        <v>STAT. WEW.</v>
      </c>
      <c r="I53" s="392" t="str">
        <f>DataPower!G12</f>
        <v>STAT. ZEW.</v>
      </c>
      <c r="J53" s="453" t="str">
        <f>DataPower!J12</f>
        <v>STAT. WEW.</v>
      </c>
      <c r="K53" s="392" t="str">
        <f>DataPower!K12</f>
        <v>STAT. ZEW.</v>
      </c>
      <c r="L53" s="452" t="str">
        <f>DataPower!L12</f>
        <v>STAT. WEW.</v>
      </c>
      <c r="M53" s="394" t="str">
        <f>DataPower!M12</f>
        <v>STAT. ZEW.</v>
      </c>
      <c r="N53" s="457" t="str">
        <f>DataPower!N12</f>
        <v>15"</v>
      </c>
      <c r="O53" s="452" t="str">
        <f>DataPower!O12</f>
        <v>30" i dłuższy⁴</v>
      </c>
    </row>
    <row r="54" spans="2:15" ht="25.5" customHeight="1">
      <c r="B54" s="384"/>
      <c r="C54" s="391" t="str">
        <f>DataPower!B13</f>
        <v>BIZNES</v>
      </c>
      <c r="D54" s="710" t="str">
        <f>DataPower!C13</f>
        <v>Firma - Poszukujący pomysłu na biznes
Leasing
Podatki</v>
      </c>
      <c r="E54" s="711"/>
      <c r="F54" s="498">
        <f>DataPower!D13</f>
        <v>108</v>
      </c>
      <c r="G54" s="416">
        <f>DataPower!E13</f>
        <v>129.6</v>
      </c>
      <c r="H54" s="498">
        <f>DataPower!F13</f>
        <v>162</v>
      </c>
      <c r="I54" s="416">
        <f>DataPower!G13</f>
        <v>194.4</v>
      </c>
      <c r="J54" s="498">
        <f>DataPower!J13</f>
        <v>252</v>
      </c>
      <c r="K54" s="416">
        <f>DataPower!K13</f>
        <v>302.39999999999998</v>
      </c>
      <c r="L54" s="498">
        <f>DataPower!L13</f>
        <v>282</v>
      </c>
      <c r="M54" s="416">
        <f>DataPower!M13</f>
        <v>338.4</v>
      </c>
      <c r="N54" s="498" t="str">
        <f>DataPower!N13</f>
        <v>120 PLN</v>
      </c>
      <c r="O54" s="416" t="str">
        <f>DataPower!O13</f>
        <v>180 PLN</v>
      </c>
    </row>
    <row r="55" spans="2:15" ht="25.5" customHeight="1">
      <c r="B55" s="384"/>
      <c r="C55" s="389" t="str">
        <f>DataPower!B14</f>
        <v>INFO I SPORT</v>
      </c>
      <c r="D55" s="712" t="str">
        <f>DataPower!C14</f>
        <v>Siatkówka
Piłka nożna - liga hiszpańska
Piłka ręczna</v>
      </c>
      <c r="E55" s="713"/>
      <c r="F55" s="498">
        <f>DataPower!D14</f>
        <v>66</v>
      </c>
      <c r="G55" s="416">
        <f>DataPower!E14</f>
        <v>78</v>
      </c>
      <c r="H55" s="498">
        <f>DataPower!F14</f>
        <v>96</v>
      </c>
      <c r="I55" s="416">
        <f>DataPower!G14</f>
        <v>115.19999999999999</v>
      </c>
      <c r="J55" s="498">
        <f>DataPower!J14</f>
        <v>150</v>
      </c>
      <c r="K55" s="416">
        <f>DataPower!K14</f>
        <v>180</v>
      </c>
      <c r="L55" s="498">
        <f>DataPower!L14</f>
        <v>174</v>
      </c>
      <c r="M55" s="416">
        <f>DataPower!M14</f>
        <v>210</v>
      </c>
      <c r="N55" s="498" t="str">
        <f>DataPower!N14</f>
        <v>100 PLN</v>
      </c>
      <c r="O55" s="416" t="str">
        <f>DataPower!O14</f>
        <v>150 PLN</v>
      </c>
    </row>
    <row r="56" spans="2:15" ht="25.5" customHeight="1">
      <c r="B56" s="384"/>
      <c r="C56" s="389" t="str">
        <f>DataPower!B15</f>
        <v>MOTORYZACJA</v>
      </c>
      <c r="D56" s="712" t="str">
        <f>DataPower!C15</f>
        <v>Autosegment A
Design motoryzacyjny
Pojazdy zabytkowe</v>
      </c>
      <c r="E56" s="713"/>
      <c r="F56" s="498">
        <f>DataPower!D15</f>
        <v>54</v>
      </c>
      <c r="G56" s="416">
        <f>DataPower!E15</f>
        <v>64.8</v>
      </c>
      <c r="H56" s="498">
        <f>DataPower!F15</f>
        <v>81.599999999999994</v>
      </c>
      <c r="I56" s="416">
        <f>DataPower!G15</f>
        <v>97.2</v>
      </c>
      <c r="J56" s="498">
        <f>DataPower!J15</f>
        <v>127.19999999999999</v>
      </c>
      <c r="K56" s="416">
        <f>DataPower!K15</f>
        <v>152.4</v>
      </c>
      <c r="L56" s="498">
        <f>DataPower!L15</f>
        <v>144</v>
      </c>
      <c r="M56" s="416">
        <f>DataPower!M15</f>
        <v>172.79999999999998</v>
      </c>
      <c r="N56" s="498" t="str">
        <f>DataPower!N15</f>
        <v>100 PLN</v>
      </c>
      <c r="O56" s="416" t="str">
        <f>DataPower!O15</f>
        <v>150 PLN</v>
      </c>
    </row>
    <row r="57" spans="2:15" ht="25.5" customHeight="1">
      <c r="B57" s="384"/>
      <c r="C57" s="389" t="str">
        <f>DataPower!B16</f>
        <v>ROZRYWKA</v>
      </c>
      <c r="D57" s="712" t="str">
        <f>DataPower!C16</f>
        <v>Film i kinoSeriale
Ekologia
Zainteresowani esportem</v>
      </c>
      <c r="E57" s="713"/>
      <c r="F57" s="498">
        <f>DataPower!D16</f>
        <v>36</v>
      </c>
      <c r="G57" s="416">
        <f>DataPower!E16</f>
        <v>43.199999999999996</v>
      </c>
      <c r="H57" s="498">
        <f>DataPower!F16</f>
        <v>54</v>
      </c>
      <c r="I57" s="416">
        <f>DataPower!G16</f>
        <v>64.8</v>
      </c>
      <c r="J57" s="498">
        <f>DataPower!J16</f>
        <v>84</v>
      </c>
      <c r="K57" s="416">
        <f>DataPower!K16</f>
        <v>100.8</v>
      </c>
      <c r="L57" s="498">
        <f>DataPower!L16</f>
        <v>93.6</v>
      </c>
      <c r="M57" s="416">
        <f>DataPower!M16</f>
        <v>112.8</v>
      </c>
      <c r="N57" s="498" t="str">
        <f>DataPower!N16</f>
        <v>100 PLN</v>
      </c>
      <c r="O57" s="416" t="str">
        <f>DataPower!O16</f>
        <v>150 PLN</v>
      </c>
    </row>
    <row r="58" spans="2:15" ht="25.5" customHeight="1">
      <c r="B58" s="384"/>
      <c r="C58" s="389" t="str">
        <f>DataPower!B17</f>
        <v>STYL ŻYCIA</v>
      </c>
      <c r="D58" s="712" t="str">
        <f>DataPower!C17</f>
        <v>Uroda - Zabiegi kosmetyczne (SPA)
Kulinaria - Kuchnia meksykańska
Turystyka - Wyjazdy rodzinne (morze)
Dom i wnętrze</v>
      </c>
      <c r="E58" s="713"/>
      <c r="F58" s="498">
        <f>DataPower!D17</f>
        <v>54</v>
      </c>
      <c r="G58" s="416">
        <f>DataPower!E17</f>
        <v>64.8</v>
      </c>
      <c r="H58" s="498">
        <f>DataPower!F17</f>
        <v>81.599999999999994</v>
      </c>
      <c r="I58" s="416">
        <f>DataPower!G17</f>
        <v>97.2</v>
      </c>
      <c r="J58" s="498">
        <f>DataPower!J17</f>
        <v>127.19999999999999</v>
      </c>
      <c r="K58" s="416">
        <f>DataPower!K17</f>
        <v>152.4</v>
      </c>
      <c r="L58" s="498">
        <f>DataPower!L17</f>
        <v>144</v>
      </c>
      <c r="M58" s="416">
        <f>DataPower!M17</f>
        <v>172.79999999999998</v>
      </c>
      <c r="N58" s="498" t="str">
        <f>DataPower!N17</f>
        <v>100 PLN</v>
      </c>
      <c r="O58" s="416" t="str">
        <f>DataPower!O17</f>
        <v>150 PLN</v>
      </c>
    </row>
    <row r="59" spans="2:15" ht="25.5" customHeight="1">
      <c r="B59" s="384"/>
      <c r="C59" s="389" t="str">
        <f>DataPower!B18</f>
        <v>TECHNOLOGIA</v>
      </c>
      <c r="D59" s="712" t="str">
        <f>DataPower!C18</f>
        <v>Sprzęt AGD
Konsole i gry
Inteligentny dom</v>
      </c>
      <c r="E59" s="713"/>
      <c r="F59" s="498">
        <f>DataPower!D18</f>
        <v>54</v>
      </c>
      <c r="G59" s="416">
        <f>DataPower!E18</f>
        <v>64.8</v>
      </c>
      <c r="H59" s="498">
        <f>DataPower!F18</f>
        <v>81.599999999999994</v>
      </c>
      <c r="I59" s="416">
        <f>DataPower!G18</f>
        <v>97.2</v>
      </c>
      <c r="J59" s="498">
        <f>DataPower!J18</f>
        <v>127.19999999999999</v>
      </c>
      <c r="K59" s="416">
        <f>DataPower!K18</f>
        <v>152.4</v>
      </c>
      <c r="L59" s="498">
        <f>DataPower!L18</f>
        <v>144</v>
      </c>
      <c r="M59" s="416">
        <f>DataPower!M18</f>
        <v>172.79999999999998</v>
      </c>
      <c r="N59" s="498" t="str">
        <f>DataPower!N18</f>
        <v>100 PLN</v>
      </c>
      <c r="O59" s="416">
        <f>DataPower!O18</f>
        <v>150</v>
      </c>
    </row>
    <row r="60" spans="2:15" ht="25.5" customHeight="1">
      <c r="B60" s="384"/>
      <c r="C60" s="497" t="str">
        <f>DataPower!B19</f>
        <v>ZDROWIE I PARENTING</v>
      </c>
      <c r="D60" s="739" t="str">
        <f>DataPower!C19</f>
        <v>Rodzina - Pięlęgnacja niemowlaka
Zdrowie
Grypa i przeziębienie
Medycyna naturalna</v>
      </c>
      <c r="E60" s="740"/>
      <c r="F60" s="499">
        <f>DataPower!D19</f>
        <v>99</v>
      </c>
      <c r="G60" s="501">
        <f>DataPower!E19</f>
        <v>118.8</v>
      </c>
      <c r="H60" s="499">
        <f>DataPower!F19</f>
        <v>144</v>
      </c>
      <c r="I60" s="417">
        <f>DataPower!G19</f>
        <v>172.79999999999998</v>
      </c>
      <c r="J60" s="499">
        <f>DataPower!J19</f>
        <v>224.4</v>
      </c>
      <c r="K60" s="417">
        <f>DataPower!K19</f>
        <v>268.8</v>
      </c>
      <c r="L60" s="499">
        <f>DataPower!L19</f>
        <v>252</v>
      </c>
      <c r="M60" s="417">
        <f>DataPower!M19</f>
        <v>302.39999999999998</v>
      </c>
      <c r="N60" s="499" t="str">
        <f>DataPower!N19</f>
        <v>180 PLN</v>
      </c>
      <c r="O60" s="417">
        <f>DataPower!O19</f>
        <v>240</v>
      </c>
    </row>
    <row r="61" spans="2:15" ht="25.5" customHeight="1">
      <c r="B61" s="384"/>
      <c r="C61" s="391" t="str">
        <f>DataPower!B20</f>
        <v>GEOTARGETOWANIE</v>
      </c>
      <c r="D61" s="710" t="str">
        <f>DataPower!C20</f>
        <v>Województwa, miasta, konkretna lokalizacja</v>
      </c>
      <c r="E61" s="711"/>
      <c r="F61" s="676" t="str">
        <f>DataPower!D20</f>
        <v>+50%</v>
      </c>
      <c r="G61" s="677"/>
      <c r="H61" s="677"/>
      <c r="I61" s="677"/>
      <c r="J61" s="677"/>
      <c r="K61" s="677"/>
      <c r="L61" s="677"/>
      <c r="M61" s="677"/>
      <c r="N61" s="677"/>
      <c r="O61" s="678"/>
    </row>
    <row r="62" spans="2:15" ht="25.5" customHeight="1">
      <c r="B62" s="384"/>
      <c r="C62" s="389" t="str">
        <f>DataPower!B21</f>
        <v>RAPORT AUDIENCE</v>
      </c>
      <c r="D62" s="712" t="str">
        <f>DataPower!C21</f>
        <v>Podsumowanie kampanii zawierającej raport Audience Discovery czyli pełny profil użytkownika (wersja podstawowa i rozszerzona).
Segmenty tworzymy pod konkretnego klienta lub konkretną kampanię.</v>
      </c>
      <c r="E62" s="713"/>
      <c r="F62" s="670" t="str">
        <f>DataPower!D21</f>
        <v>+50%</v>
      </c>
      <c r="G62" s="671"/>
      <c r="H62" s="671"/>
      <c r="I62" s="671"/>
      <c r="J62" s="671"/>
      <c r="K62" s="671"/>
      <c r="L62" s="671"/>
      <c r="M62" s="671"/>
      <c r="N62" s="671"/>
      <c r="O62" s="672"/>
    </row>
    <row r="63" spans="2:15" ht="25.5" customHeight="1">
      <c r="B63" s="384"/>
      <c r="C63" s="390" t="str">
        <f>DataPower!B22</f>
        <v>PROFIL DEDYKOWANY</v>
      </c>
      <c r="D63" s="739" t="str">
        <f>DataPower!C22</f>
        <v>Unikalne grupy tworzone na potrzeby klienta / kampanii.</v>
      </c>
      <c r="E63" s="740"/>
      <c r="F63" s="673" t="str">
        <f>DataPower!D22</f>
        <v>+30%</v>
      </c>
      <c r="G63" s="674"/>
      <c r="H63" s="674"/>
      <c r="I63" s="674"/>
      <c r="J63" s="674"/>
      <c r="K63" s="674"/>
      <c r="L63" s="674"/>
      <c r="M63" s="674"/>
      <c r="N63" s="674"/>
      <c r="O63" s="675"/>
    </row>
    <row r="64" spans="2:15">
      <c r="C64" s="502" t="str">
        <f>DataPower!B23</f>
        <v>¹ ceny dotyczą rozliczenia vCPM zgodnego ze standardem IAB, dla innych standardów obowiązuje wycena indywidualna</v>
      </c>
    </row>
    <row r="65" spans="3:3">
      <c r="C65" s="502" t="str">
        <f>DataPower!B25</f>
        <v>³ Format dostępny na wybranych serwisach</v>
      </c>
    </row>
    <row r="66" spans="3:3">
      <c r="C66" s="502" t="str">
        <f>DataPower!B26</f>
        <v>⁴ +20% za emisję video z kodów emisyjnych</v>
      </c>
    </row>
  </sheetData>
  <mergeCells count="95">
    <mergeCell ref="C29:C31"/>
    <mergeCell ref="J13:K13"/>
    <mergeCell ref="L13:M13"/>
    <mergeCell ref="E14:G14"/>
    <mergeCell ref="E15:G15"/>
    <mergeCell ref="E16:G16"/>
    <mergeCell ref="L16:M16"/>
    <mergeCell ref="J14:K14"/>
    <mergeCell ref="J15:K15"/>
    <mergeCell ref="J16:K16"/>
    <mergeCell ref="J23:M23"/>
    <mergeCell ref="J24:M24"/>
    <mergeCell ref="C19:D19"/>
    <mergeCell ref="H18:I19"/>
    <mergeCell ref="J18:M19"/>
    <mergeCell ref="E18:G19"/>
    <mergeCell ref="E20:G20"/>
    <mergeCell ref="E21:G22"/>
    <mergeCell ref="E23:G24"/>
    <mergeCell ref="H21:I22"/>
    <mergeCell ref="H20:I20"/>
    <mergeCell ref="J20:M20"/>
    <mergeCell ref="C22:D22"/>
    <mergeCell ref="C20:D20"/>
    <mergeCell ref="D62:E62"/>
    <mergeCell ref="D63:E63"/>
    <mergeCell ref="D56:E56"/>
    <mergeCell ref="D57:E57"/>
    <mergeCell ref="D58:E58"/>
    <mergeCell ref="D59:E59"/>
    <mergeCell ref="D60:E60"/>
    <mergeCell ref="D29:E31"/>
    <mergeCell ref="D32:E32"/>
    <mergeCell ref="D37:E37"/>
    <mergeCell ref="D33:E33"/>
    <mergeCell ref="D34:E34"/>
    <mergeCell ref="D35:E35"/>
    <mergeCell ref="J17:K17"/>
    <mergeCell ref="D61:E61"/>
    <mergeCell ref="D54:E54"/>
    <mergeCell ref="D55:E55"/>
    <mergeCell ref="H17:I17"/>
    <mergeCell ref="C23:D23"/>
    <mergeCell ref="C24:D24"/>
    <mergeCell ref="H23:I24"/>
    <mergeCell ref="C11:D17"/>
    <mergeCell ref="H13:I13"/>
    <mergeCell ref="E11:G12"/>
    <mergeCell ref="E13:G13"/>
    <mergeCell ref="E17:G17"/>
    <mergeCell ref="C18:D18"/>
    <mergeCell ref="C21:D21"/>
    <mergeCell ref="C51:C53"/>
    <mergeCell ref="J51:K51"/>
    <mergeCell ref="L51:M51"/>
    <mergeCell ref="D42:E42"/>
    <mergeCell ref="D43:E43"/>
    <mergeCell ref="D36:E36"/>
    <mergeCell ref="D51:E53"/>
    <mergeCell ref="D40:E40"/>
    <mergeCell ref="D41:E41"/>
    <mergeCell ref="D38:E38"/>
    <mergeCell ref="D39:E39"/>
    <mergeCell ref="G1:M3"/>
    <mergeCell ref="J21:M21"/>
    <mergeCell ref="J22:M22"/>
    <mergeCell ref="L11:M11"/>
    <mergeCell ref="L12:M12"/>
    <mergeCell ref="J11:K11"/>
    <mergeCell ref="J12:K12"/>
    <mergeCell ref="J9:M10"/>
    <mergeCell ref="L14:M14"/>
    <mergeCell ref="L15:M15"/>
    <mergeCell ref="H9:I10"/>
    <mergeCell ref="H11:I12"/>
    <mergeCell ref="H14:I14"/>
    <mergeCell ref="H15:I15"/>
    <mergeCell ref="H16:I16"/>
    <mergeCell ref="L17:M17"/>
    <mergeCell ref="C9:D10"/>
    <mergeCell ref="E9:G10"/>
    <mergeCell ref="F62:O62"/>
    <mergeCell ref="F63:O63"/>
    <mergeCell ref="F61:O61"/>
    <mergeCell ref="N51:O51"/>
    <mergeCell ref="N52:O52"/>
    <mergeCell ref="H51:I51"/>
    <mergeCell ref="F34:M34"/>
    <mergeCell ref="F29:G29"/>
    <mergeCell ref="F30:M30"/>
    <mergeCell ref="L29:M29"/>
    <mergeCell ref="H29:I29"/>
    <mergeCell ref="J29:K29"/>
    <mergeCell ref="F51:G51"/>
    <mergeCell ref="F52:M5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R76"/>
  <sheetViews>
    <sheetView zoomScaleNormal="100" workbookViewId="0">
      <pane ySplit="4" topLeftCell="A5" activePane="bottomLeft" state="frozen"/>
      <selection pane="bottomLeft"/>
    </sheetView>
  </sheetViews>
  <sheetFormatPr defaultColWidth="11.42578125" defaultRowHeight="12.75"/>
  <cols>
    <col min="1" max="1" width="2.85546875" style="246" customWidth="1"/>
    <col min="2" max="2" width="2.85546875" style="68" customWidth="1"/>
    <col min="3" max="3" width="27.85546875" style="68" customWidth="1"/>
    <col min="4" max="4" width="21.42578125" style="68" customWidth="1"/>
    <col min="5" max="7" width="25.7109375" style="68" customWidth="1"/>
    <col min="8" max="8" width="25.7109375" style="112" customWidth="1"/>
    <col min="9" max="9" width="25.5703125" style="68" customWidth="1"/>
    <col min="10" max="10" width="10" style="68" customWidth="1"/>
    <col min="11" max="11" width="15.42578125" style="68" customWidth="1"/>
    <col min="12" max="14" width="13.42578125" style="68" customWidth="1"/>
    <col min="15" max="15" width="11" style="68" customWidth="1"/>
    <col min="16" max="16" width="24" style="68" customWidth="1"/>
    <col min="17" max="16384" width="11.42578125" style="68"/>
  </cols>
  <sheetData>
    <row r="1" spans="1:18" ht="12.75" customHeight="1">
      <c r="A1" s="353"/>
      <c r="B1" s="341"/>
      <c r="C1" s="15" t="s">
        <v>63</v>
      </c>
      <c r="D1" s="15"/>
      <c r="E1" s="523"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F1" s="523"/>
      <c r="G1" s="523"/>
      <c r="H1" s="523"/>
      <c r="I1" s="355"/>
      <c r="J1" s="79"/>
      <c r="K1" s="353"/>
      <c r="L1" s="353"/>
      <c r="M1" s="353"/>
      <c r="N1" s="353"/>
      <c r="O1" s="353"/>
      <c r="P1" s="353"/>
      <c r="Q1" s="353"/>
      <c r="R1" s="353"/>
    </row>
    <row r="2" spans="1:18" ht="12.75" customHeight="1">
      <c r="A2" s="353"/>
      <c r="B2" s="353"/>
      <c r="C2" s="353"/>
      <c r="D2" s="353"/>
      <c r="E2" s="523"/>
      <c r="F2" s="523"/>
      <c r="G2" s="523"/>
      <c r="H2" s="523"/>
      <c r="I2" s="355"/>
      <c r="J2" s="79"/>
      <c r="K2" s="353"/>
      <c r="L2" s="353"/>
      <c r="M2" s="353"/>
      <c r="N2" s="353"/>
      <c r="O2" s="353"/>
      <c r="P2" s="353"/>
      <c r="Q2" s="353"/>
      <c r="R2" s="353"/>
    </row>
    <row r="3" spans="1:18">
      <c r="A3" s="353"/>
      <c r="B3" s="353"/>
      <c r="C3" s="353"/>
      <c r="D3" s="353"/>
      <c r="E3" s="523"/>
      <c r="F3" s="523"/>
      <c r="G3" s="523"/>
      <c r="H3" s="523"/>
      <c r="I3" s="355"/>
      <c r="J3" s="79"/>
      <c r="K3" s="353"/>
      <c r="L3" s="353"/>
      <c r="M3" s="353"/>
      <c r="N3" s="353"/>
      <c r="O3" s="353"/>
      <c r="P3" s="353"/>
      <c r="Q3" s="353"/>
      <c r="R3" s="353"/>
    </row>
    <row r="4" spans="1:18" s="35" customFormat="1" ht="12.75" customHeight="1">
      <c r="A4" s="356"/>
      <c r="B4" s="356"/>
      <c r="C4" s="110" t="str">
        <f>IF('Język - Language'!$B$30="Polski","            Emisje dobowe i tygodniowe","            Flat Fee daily and weekly emission")</f>
        <v xml:space="preserve">            Emisje dobowe i tygodniowe</v>
      </c>
      <c r="D4" s="80"/>
      <c r="E4" s="80"/>
      <c r="F4" s="80"/>
      <c r="G4" s="356"/>
      <c r="H4" s="340" t="str">
        <f>IF('Język - Language'!$B$30="Polski","PL","EN")</f>
        <v>PL</v>
      </c>
      <c r="I4" s="356"/>
      <c r="J4" s="356"/>
      <c r="K4" s="356"/>
      <c r="L4" s="356"/>
      <c r="M4" s="356"/>
      <c r="N4" s="356"/>
      <c r="O4" s="356"/>
      <c r="P4" s="356"/>
      <c r="Q4" s="356"/>
      <c r="R4" s="356"/>
    </row>
    <row r="5" spans="1:18" s="3" customFormat="1" ht="12.75" customHeight="1">
      <c r="A5" s="341"/>
      <c r="B5" s="341"/>
      <c r="C5" s="9"/>
      <c r="D5" s="9"/>
      <c r="E5" s="9"/>
      <c r="F5" s="9"/>
      <c r="G5" s="341"/>
      <c r="H5" s="341"/>
      <c r="I5" s="341"/>
      <c r="J5" s="341"/>
      <c r="K5" s="341"/>
      <c r="L5" s="341"/>
      <c r="M5" s="341"/>
      <c r="N5" s="341"/>
      <c r="O5" s="341"/>
      <c r="P5" s="341"/>
      <c r="Q5" s="341"/>
      <c r="R5" s="341"/>
    </row>
    <row r="6" spans="1:18" ht="12.75" customHeight="1">
      <c r="A6" s="353"/>
      <c r="B6" s="353"/>
      <c r="C6" s="33"/>
      <c r="D6" s="33"/>
      <c r="E6" s="33"/>
      <c r="F6" s="33"/>
      <c r="G6" s="33"/>
      <c r="H6" s="33"/>
      <c r="I6" s="33"/>
      <c r="J6" s="33"/>
      <c r="K6" s="33"/>
      <c r="L6" s="33"/>
      <c r="M6" s="33"/>
      <c r="N6" s="33"/>
      <c r="O6" s="33"/>
      <c r="P6" s="83"/>
      <c r="Q6" s="341"/>
      <c r="R6" s="353"/>
    </row>
    <row r="7" spans="1:18" ht="25.5" customHeight="1">
      <c r="A7" s="353"/>
      <c r="B7" s="353"/>
      <c r="C7" s="209" t="str">
        <f>IF('Język - Language'!$B$30="Polski",CONCATENATE("PANEL PREMIUM",CHAR(10),"MIEJSCE EMISJI"),CONCATENATE("PANEL PREMIUM",CHAR(10),"PLACE OF EMISSION"))</f>
        <v>PANEL PREMIUM
MIEJSCE EMISJI</v>
      </c>
      <c r="D7" s="440" t="str">
        <f>IF('Język - Language'!$B$30="Polski","FORMAT","FORMAT")</f>
        <v>FORMAT</v>
      </c>
      <c r="E7" s="553" t="str">
        <f>IF('Język - Language'!$B$30="Polski","MODEL EMISJI","MODEL OF EMISSION")</f>
        <v>MODEL EMISJI</v>
      </c>
      <c r="F7" s="553"/>
      <c r="G7" s="553" t="str">
        <f>IF('Język - Language'!$B$30="Polski","CENA","PRICE")</f>
        <v>CENA</v>
      </c>
      <c r="H7" s="559"/>
      <c r="I7" s="39"/>
      <c r="J7" s="39"/>
      <c r="K7" s="8"/>
      <c r="L7" s="8"/>
      <c r="M7" s="27"/>
      <c r="N7" s="341"/>
      <c r="O7" s="341"/>
      <c r="P7" s="341"/>
      <c r="Q7" s="341"/>
      <c r="R7" s="341"/>
    </row>
    <row r="8" spans="1:18" s="91" customFormat="1" ht="12.75" customHeight="1">
      <c r="A8" s="353"/>
      <c r="B8" s="325" t="s">
        <v>64</v>
      </c>
      <c r="C8" s="816" t="str">
        <f>IF('Język - Language'!$B$30="Polski","   WP SG","   WP Home Page")</f>
        <v xml:space="preserve">   WP SG</v>
      </c>
      <c r="D8" s="409" t="str">
        <f>IF('Język - Language'!$B$30="Polski","Mobile Panel Premium","Mobile Panel Premium")</f>
        <v>Mobile Panel Premium</v>
      </c>
      <c r="E8" s="814" t="str">
        <f>IF('Język - Language'!$B$30="Polski","Flat Fee / dzień","Flat Fee / 1 day")</f>
        <v>Flat Fee / dzień</v>
      </c>
      <c r="F8" s="815"/>
      <c r="G8" s="410" t="str">
        <f>IF('Język - Language'!$B$30="Polski","120 000 PLN (styczeń-październik),","120 000 PLN (Jan-Oct),")</f>
        <v>120 000 PLN (styczeń-październik),</v>
      </c>
      <c r="H8" s="411" t="str">
        <f>IF('Język - Language'!$B$30="Polski","140 000 PLN (listopad-grudzień)","140 000 PLN (Nov-Dec)")</f>
        <v>140 000 PLN (listopad-grudzień)</v>
      </c>
      <c r="I8" s="39"/>
      <c r="J8" s="39"/>
      <c r="K8" s="8"/>
      <c r="L8" s="8"/>
      <c r="M8" s="27"/>
      <c r="N8" s="341"/>
      <c r="O8" s="341"/>
      <c r="P8" s="341"/>
      <c r="Q8" s="341"/>
      <c r="R8" s="341"/>
    </row>
    <row r="9" spans="1:18" s="283" customFormat="1" ht="12.75" customHeight="1">
      <c r="A9" s="353"/>
      <c r="B9" s="754" t="s">
        <v>65</v>
      </c>
      <c r="C9" s="816"/>
      <c r="D9" s="450" t="str">
        <f>IF('Język - Language'!$B$30="Polski","Panel Premium","Panel Premium")</f>
        <v>Panel Premium</v>
      </c>
      <c r="E9" s="814"/>
      <c r="F9" s="815"/>
      <c r="G9" s="280" t="str">
        <f>IF('Język - Language'!$B$30="Polski","385 000 PLN (styczeń-październik),","375 000 PLN (Jan-Oct),")</f>
        <v>385 000 PLN (styczeń-październik),</v>
      </c>
      <c r="H9" s="279" t="str">
        <f>IF('Język - Language'!$B$30="Polski","450 000 PLN (listopad-grudzień)","450 000 PLN (Nov-Dec)")</f>
        <v>450 000 PLN (listopad-grudzień)</v>
      </c>
      <c r="I9" s="39"/>
      <c r="J9" s="39"/>
      <c r="K9" s="8"/>
      <c r="L9" s="8"/>
      <c r="M9" s="27"/>
      <c r="N9" s="341"/>
      <c r="O9" s="341"/>
      <c r="P9" s="341"/>
      <c r="Q9" s="341"/>
      <c r="R9" s="341"/>
    </row>
    <row r="10" spans="1:18" s="91" customFormat="1" ht="12.75" customHeight="1">
      <c r="A10" s="353"/>
      <c r="B10" s="754"/>
      <c r="C10" s="817"/>
      <c r="D10" s="437" t="str">
        <f>IF('Język - Language'!$B$30="Polski","Panel Premium XL","Panel Premium XL")</f>
        <v>Panel Premium XL</v>
      </c>
      <c r="E10" s="808"/>
      <c r="F10" s="809"/>
      <c r="G10" s="280" t="str">
        <f>IF('Język - Language'!$B$30="Polski","470 000 PLN (styczeń-październik),","470 000 PLN (Jan-Oct),")</f>
        <v>470 000 PLN (styczeń-październik),</v>
      </c>
      <c r="H10" s="279" t="str">
        <f>IF('Język - Language'!$B$30="Polski","565 000 PLN (listopad-grudzień)","565 000 PLN (Nov-Dec)")</f>
        <v>565 000 PLN (listopad-grudzień)</v>
      </c>
      <c r="I10" s="39"/>
      <c r="J10" s="39"/>
      <c r="K10" s="8"/>
      <c r="L10" s="8"/>
      <c r="M10" s="27"/>
      <c r="N10" s="341"/>
      <c r="O10" s="341"/>
      <c r="P10" s="341"/>
      <c r="Q10" s="341"/>
      <c r="R10" s="341"/>
    </row>
    <row r="11" spans="1:18" s="91" customFormat="1" ht="12.75" customHeight="1">
      <c r="A11" s="353"/>
      <c r="B11" s="754"/>
      <c r="C11" s="824" t="str">
        <f>IF('Język - Language'!$B$30="Polski","   Pudelek SG","   Pudelek Home Page")</f>
        <v xml:space="preserve">   Pudelek SG</v>
      </c>
      <c r="D11" s="444" t="str">
        <f>IF('Język - Language'!$B$30="Polski","Panel Premium","Panel Premium")</f>
        <v>Panel Premium</v>
      </c>
      <c r="E11" s="806" t="str">
        <f>IF('Język - Language'!$B$30="Polski","Flat Fee / dzień","Flat Fee / 1 day")</f>
        <v>Flat Fee / dzień</v>
      </c>
      <c r="F11" s="807"/>
      <c r="G11" s="758">
        <v>30000</v>
      </c>
      <c r="H11" s="759"/>
      <c r="I11" s="39"/>
      <c r="J11" s="39"/>
      <c r="K11" s="8"/>
      <c r="L11" s="8"/>
      <c r="M11" s="27"/>
      <c r="N11" s="341"/>
      <c r="O11" s="341"/>
      <c r="P11" s="341"/>
      <c r="Q11" s="341"/>
      <c r="R11" s="341"/>
    </row>
    <row r="12" spans="1:18" s="91" customFormat="1" ht="12.75" customHeight="1">
      <c r="A12" s="353"/>
      <c r="B12" s="754"/>
      <c r="C12" s="817"/>
      <c r="D12" s="437" t="str">
        <f>IF('Język - Language'!$B$30="Polski","Panel Premium XL","Panel Premium XL")</f>
        <v>Panel Premium XL</v>
      </c>
      <c r="E12" s="808"/>
      <c r="F12" s="809"/>
      <c r="G12" s="804">
        <v>37500</v>
      </c>
      <c r="H12" s="805"/>
      <c r="I12" s="39"/>
      <c r="J12" s="39"/>
      <c r="K12" s="8"/>
      <c r="L12" s="8"/>
      <c r="M12" s="27"/>
      <c r="N12" s="341"/>
      <c r="O12" s="341"/>
      <c r="P12" s="341"/>
      <c r="Q12" s="341"/>
      <c r="R12" s="341"/>
    </row>
    <row r="13" spans="1:18" s="91" customFormat="1" ht="12.75" customHeight="1">
      <c r="A13" s="353"/>
      <c r="B13" s="754"/>
      <c r="C13" s="210" t="str">
        <f>IF('Język - Language'!$B$30="Polski","Poczta WP","WP Email Service")</f>
        <v>Poczta WP</v>
      </c>
      <c r="D13" s="821" t="str">
        <f>IF('Język - Language'!$B$30="Polski","Panel Premium","Panel Premium")</f>
        <v>Panel Premium</v>
      </c>
      <c r="E13" s="810" t="str">
        <f>IF('Język - Language'!$B$30="Polski","Flat Fee (z wykluczeniami) / dzień","Flat Fee (exclusions) / 1 day")</f>
        <v>Flat Fee (z wykluczeniami) / dzień</v>
      </c>
      <c r="F13" s="811"/>
      <c r="G13" s="802">
        <v>110000</v>
      </c>
      <c r="H13" s="803"/>
      <c r="I13" s="39"/>
      <c r="J13" s="39"/>
      <c r="K13" s="8"/>
      <c r="L13" s="8"/>
      <c r="M13" s="27"/>
      <c r="N13" s="341"/>
      <c r="O13" s="341"/>
      <c r="P13" s="341"/>
      <c r="Q13" s="341"/>
      <c r="R13" s="341"/>
    </row>
    <row r="14" spans="1:18" s="91" customFormat="1" ht="12.75" customHeight="1">
      <c r="A14" s="353"/>
      <c r="B14" s="754"/>
      <c r="C14" s="211" t="s">
        <v>66</v>
      </c>
      <c r="D14" s="822"/>
      <c r="E14" s="773" t="str">
        <f>IF('Język - Language'!$B$30="Polski","Flat Fee / tydzień","Flat Fee / 1 week")</f>
        <v>Flat Fee / tydzień</v>
      </c>
      <c r="F14" s="774"/>
      <c r="G14" s="758">
        <v>25000</v>
      </c>
      <c r="H14" s="759"/>
      <c r="I14" s="39"/>
      <c r="J14" s="39"/>
      <c r="K14" s="8"/>
      <c r="L14" s="8"/>
      <c r="M14" s="27"/>
      <c r="N14" s="341"/>
      <c r="O14" s="341"/>
      <c r="P14" s="341"/>
      <c r="Q14" s="341"/>
      <c r="R14" s="341"/>
    </row>
    <row r="15" spans="1:18" s="91" customFormat="1" ht="12.75" customHeight="1">
      <c r="A15" s="353"/>
      <c r="B15" s="754"/>
      <c r="C15" s="203" t="s">
        <v>67</v>
      </c>
      <c r="D15" s="822"/>
      <c r="E15" s="775"/>
      <c r="F15" s="776"/>
      <c r="G15" s="645">
        <v>20000</v>
      </c>
      <c r="H15" s="646"/>
      <c r="I15" s="39"/>
      <c r="J15" s="39"/>
      <c r="K15" s="8"/>
      <c r="L15" s="8"/>
      <c r="M15" s="27"/>
      <c r="N15" s="341"/>
      <c r="O15" s="341"/>
      <c r="P15" s="341"/>
      <c r="Q15" s="341"/>
      <c r="R15" s="341"/>
    </row>
    <row r="16" spans="1:18" s="91" customFormat="1" ht="12.75" customHeight="1">
      <c r="A16" s="353"/>
      <c r="B16" s="754"/>
      <c r="C16" s="203" t="s">
        <v>68</v>
      </c>
      <c r="D16" s="822"/>
      <c r="E16" s="775"/>
      <c r="F16" s="776"/>
      <c r="G16" s="645">
        <v>20000</v>
      </c>
      <c r="H16" s="646"/>
      <c r="I16" s="39"/>
      <c r="J16" s="39"/>
      <c r="K16" s="8"/>
      <c r="L16" s="8"/>
      <c r="M16" s="27"/>
      <c r="N16" s="341"/>
      <c r="O16" s="341"/>
      <c r="P16" s="341"/>
      <c r="Q16" s="341"/>
      <c r="R16" s="341"/>
    </row>
    <row r="17" spans="1:18" s="91" customFormat="1" ht="12.75" customHeight="1">
      <c r="A17" s="353"/>
      <c r="B17" s="754"/>
      <c r="C17" s="202" t="s">
        <v>69</v>
      </c>
      <c r="D17" s="822"/>
      <c r="E17" s="775"/>
      <c r="F17" s="776"/>
      <c r="G17" s="645">
        <v>20000</v>
      </c>
      <c r="H17" s="646"/>
      <c r="I17" s="39"/>
      <c r="J17" s="39"/>
      <c r="K17" s="8"/>
      <c r="L17" s="8"/>
      <c r="M17" s="27"/>
      <c r="N17" s="341"/>
      <c r="O17" s="341"/>
      <c r="P17" s="341"/>
      <c r="Q17" s="341"/>
      <c r="R17" s="341"/>
    </row>
    <row r="18" spans="1:18" s="135" customFormat="1" ht="12.75" customHeight="1">
      <c r="A18" s="353"/>
      <c r="B18" s="754"/>
      <c r="C18" s="202" t="str">
        <f>IF('Język - Language'!$B$30="Polski","SG Money","Money Home Page")</f>
        <v>SG Money</v>
      </c>
      <c r="D18" s="822"/>
      <c r="E18" s="775"/>
      <c r="F18" s="776"/>
      <c r="G18" s="645">
        <v>50000</v>
      </c>
      <c r="H18" s="646"/>
      <c r="I18" s="39"/>
      <c r="J18" s="39"/>
      <c r="K18" s="8"/>
      <c r="L18" s="8"/>
      <c r="M18" s="27"/>
      <c r="N18" s="341"/>
      <c r="O18" s="341"/>
      <c r="P18" s="341"/>
      <c r="Q18" s="341"/>
      <c r="R18" s="341"/>
    </row>
    <row r="19" spans="1:18" s="135" customFormat="1" ht="12.75" customHeight="1">
      <c r="A19" s="353"/>
      <c r="B19" s="754"/>
      <c r="C19" s="462" t="str">
        <f>IF('Język - Language'!$B$30="Polski","dobreprogramy¹","dobreprogramy¹")</f>
        <v>dobreprogramy¹</v>
      </c>
      <c r="D19" s="822"/>
      <c r="E19" s="777"/>
      <c r="F19" s="778"/>
      <c r="G19" s="768">
        <v>25000</v>
      </c>
      <c r="H19" s="769"/>
      <c r="I19" s="39"/>
      <c r="J19" s="39"/>
      <c r="K19" s="8"/>
      <c r="L19" s="8"/>
      <c r="M19" s="27"/>
      <c r="N19" s="341"/>
      <c r="O19" s="341"/>
      <c r="P19" s="341"/>
      <c r="Q19" s="341"/>
      <c r="R19" s="341"/>
    </row>
    <row r="20" spans="1:18" s="91" customFormat="1" ht="12.75" customHeight="1">
      <c r="A20" s="353"/>
      <c r="B20" s="754"/>
      <c r="C20" s="461" t="s">
        <v>70</v>
      </c>
      <c r="D20" s="822"/>
      <c r="E20" s="773" t="str">
        <f>IF('Język - Language'!$B$30="Polski","Flat Fee / dzień","Flat Fee / 1 day")</f>
        <v>Flat Fee / dzień</v>
      </c>
      <c r="F20" s="774"/>
      <c r="G20" s="758">
        <v>60000</v>
      </c>
      <c r="H20" s="759"/>
      <c r="I20" s="39"/>
      <c r="J20" s="39"/>
      <c r="K20" s="8"/>
      <c r="L20" s="8"/>
      <c r="M20" s="27"/>
      <c r="N20" s="341"/>
      <c r="O20" s="341"/>
      <c r="P20" s="341"/>
      <c r="Q20" s="341"/>
      <c r="R20" s="341"/>
    </row>
    <row r="21" spans="1:18" s="91" customFormat="1" ht="12.75" customHeight="1">
      <c r="A21" s="353"/>
      <c r="B21" s="755"/>
      <c r="C21" s="204" t="s">
        <v>71</v>
      </c>
      <c r="D21" s="823"/>
      <c r="E21" s="777"/>
      <c r="F21" s="778"/>
      <c r="G21" s="804">
        <v>20000</v>
      </c>
      <c r="H21" s="805"/>
      <c r="I21" s="39"/>
      <c r="J21" s="39"/>
      <c r="K21" s="8"/>
      <c r="L21" s="8"/>
      <c r="M21" s="27"/>
      <c r="N21" s="341"/>
      <c r="O21" s="341"/>
      <c r="P21" s="341"/>
      <c r="Q21" s="341"/>
      <c r="R21" s="341"/>
    </row>
    <row r="22" spans="1:18" s="135" customFormat="1" ht="12.75" customHeight="1">
      <c r="A22" s="353"/>
      <c r="B22" s="272"/>
      <c r="C22" s="231" t="str">
        <f>IF('Język - Language'!$B$30="Polski","¹ emisja z wyłączeniem forum.dobreprogramy.pl","¹ emission without section forum.dobreprogramy.pl")</f>
        <v>¹ emisja z wyłączeniem forum.dobreprogramy.pl</v>
      </c>
      <c r="D22" s="475"/>
      <c r="E22" s="208"/>
      <c r="F22" s="208"/>
      <c r="G22" s="208"/>
      <c r="H22" s="208"/>
      <c r="I22" s="39"/>
      <c r="J22" s="39"/>
      <c r="K22" s="8"/>
      <c r="L22" s="8"/>
      <c r="M22" s="27"/>
      <c r="N22" s="341"/>
      <c r="O22" s="341"/>
      <c r="P22" s="341"/>
      <c r="Q22" s="341"/>
      <c r="R22" s="341"/>
    </row>
    <row r="23" spans="1:18" s="119" customFormat="1" ht="12.75" customHeight="1">
      <c r="A23" s="353"/>
      <c r="B23" s="353"/>
      <c r="C23" s="139"/>
      <c r="D23" s="139"/>
      <c r="E23" s="84"/>
      <c r="F23" s="84"/>
      <c r="G23" s="39"/>
      <c r="H23" s="39"/>
      <c r="I23" s="8"/>
      <c r="J23" s="8"/>
      <c r="K23" s="27"/>
      <c r="L23" s="341"/>
      <c r="M23" s="341"/>
      <c r="N23" s="341"/>
      <c r="O23" s="341"/>
      <c r="P23" s="341"/>
      <c r="Q23" s="353"/>
      <c r="R23" s="353"/>
    </row>
    <row r="24" spans="1:18" s="113" customFormat="1" ht="12.75" customHeight="1">
      <c r="A24" s="353"/>
      <c r="B24" s="353"/>
      <c r="C24" s="139"/>
      <c r="D24" s="139"/>
      <c r="E24" s="84"/>
      <c r="F24" s="84"/>
      <c r="G24" s="39"/>
      <c r="H24" s="39"/>
      <c r="I24" s="8"/>
      <c r="J24" s="8"/>
      <c r="K24" s="27"/>
      <c r="L24" s="341"/>
      <c r="M24" s="341"/>
      <c r="N24" s="341"/>
      <c r="O24" s="341"/>
      <c r="P24" s="341"/>
      <c r="Q24" s="353"/>
      <c r="R24" s="353"/>
    </row>
    <row r="25" spans="1:18" s="116" customFormat="1" ht="25.5" customHeight="1">
      <c r="A25" s="353"/>
      <c r="B25" s="353"/>
      <c r="C25" s="818" t="str">
        <f>IF('Język - Language'!$B$30="Polski",CONCATENATE("NAGŁÓWEK SPONSOROWANY",CHAR(10),"MIEJSCE EMISJI"),CONCATENATE("SPONSORED HEADING",CHAR(10),"PLACE OF EMISSION"))</f>
        <v>NAGŁÓWEK SPONSOROWANY
MIEJSCE EMISJI</v>
      </c>
      <c r="D25" s="818"/>
      <c r="E25" s="772" t="str">
        <f>IF('Język - Language'!$B$30="Polski",CONCATENATE("Nagłówek sponsorowany standard",CHAR(10),"(FF / tydzień)"),CONCATENATE("Sponsored heading standard",CHAR(10),"(FF / week)"))</f>
        <v>Nagłówek sponsorowany standard
(FF / tydzień)</v>
      </c>
      <c r="F25" s="772"/>
      <c r="G25" s="772" t="str">
        <f>IF('Język - Language'!$B$30="Polski","Nagłówek sponsorowany (FF / tydzień) + tapeta (cap 1xuu / dzień)","Sponsored heading (FF / week) + Wallpaper (cap 1xuu / day)")</f>
        <v>Nagłówek sponsorowany (FF / tydzień) + tapeta (cap 1xuu / dzień)</v>
      </c>
      <c r="H25" s="779"/>
      <c r="I25" s="7"/>
      <c r="J25" s="429"/>
      <c r="K25" s="429"/>
      <c r="L25" s="353"/>
      <c r="M25" s="353"/>
      <c r="N25" s="353"/>
      <c r="O25" s="353"/>
      <c r="P25" s="353"/>
      <c r="Q25" s="353"/>
      <c r="R25" s="353"/>
    </row>
    <row r="26" spans="1:18" s="116" customFormat="1" ht="12.75" customHeight="1">
      <c r="A26" s="353"/>
      <c r="B26" s="754" t="s">
        <v>65</v>
      </c>
      <c r="C26" s="819" t="s">
        <v>57</v>
      </c>
      <c r="D26" s="820"/>
      <c r="E26" s="770">
        <v>721000</v>
      </c>
      <c r="F26" s="771"/>
      <c r="G26" s="770">
        <v>1100000</v>
      </c>
      <c r="H26" s="771"/>
      <c r="I26" s="278"/>
      <c r="J26" s="429"/>
      <c r="K26" s="429"/>
      <c r="L26" s="429"/>
      <c r="M26" s="353"/>
      <c r="N26" s="341"/>
      <c r="O26" s="353"/>
      <c r="P26" s="353"/>
      <c r="Q26" s="353"/>
      <c r="R26" s="353"/>
    </row>
    <row r="27" spans="1:18" s="116" customFormat="1" ht="12.75" customHeight="1">
      <c r="A27" s="353"/>
      <c r="B27" s="754"/>
      <c r="C27" s="760" t="s">
        <v>72</v>
      </c>
      <c r="D27" s="761"/>
      <c r="E27" s="756">
        <v>710000</v>
      </c>
      <c r="F27" s="757"/>
      <c r="G27" s="756">
        <v>1075000</v>
      </c>
      <c r="H27" s="757"/>
      <c r="I27" s="278"/>
      <c r="J27" s="429"/>
      <c r="K27" s="429"/>
      <c r="L27" s="429"/>
      <c r="M27" s="353"/>
      <c r="N27" s="341"/>
      <c r="O27" s="353"/>
      <c r="P27" s="353"/>
      <c r="Q27" s="353"/>
      <c r="R27" s="353"/>
    </row>
    <row r="28" spans="1:18" s="116" customFormat="1" ht="12.75" customHeight="1">
      <c r="A28" s="353"/>
      <c r="B28" s="754"/>
      <c r="C28" s="760" t="s">
        <v>73</v>
      </c>
      <c r="D28" s="761"/>
      <c r="E28" s="756">
        <v>58000</v>
      </c>
      <c r="F28" s="757"/>
      <c r="G28" s="756">
        <v>88000</v>
      </c>
      <c r="H28" s="757"/>
      <c r="I28" s="278"/>
      <c r="J28" s="429"/>
      <c r="K28" s="429"/>
      <c r="L28" s="429"/>
      <c r="M28" s="353"/>
      <c r="N28" s="341"/>
      <c r="O28" s="353"/>
      <c r="P28" s="353"/>
      <c r="Q28" s="353"/>
      <c r="R28" s="353"/>
    </row>
    <row r="29" spans="1:18" s="116" customFormat="1" ht="12.75" customHeight="1">
      <c r="A29" s="353"/>
      <c r="B29" s="754"/>
      <c r="C29" s="760" t="s">
        <v>74</v>
      </c>
      <c r="D29" s="761"/>
      <c r="E29" s="756">
        <v>144000</v>
      </c>
      <c r="F29" s="757"/>
      <c r="G29" s="756">
        <v>215000</v>
      </c>
      <c r="H29" s="757"/>
      <c r="I29" s="278"/>
      <c r="J29" s="429"/>
      <c r="K29" s="429"/>
      <c r="L29" s="429"/>
      <c r="M29" s="353"/>
      <c r="N29" s="341"/>
      <c r="O29" s="353"/>
      <c r="P29" s="353"/>
      <c r="Q29" s="353"/>
      <c r="R29" s="353"/>
    </row>
    <row r="30" spans="1:18" s="120" customFormat="1" ht="12.75" customHeight="1">
      <c r="A30" s="353"/>
      <c r="B30" s="754"/>
      <c r="C30" s="760" t="s">
        <v>75</v>
      </c>
      <c r="D30" s="761"/>
      <c r="E30" s="756">
        <v>201000</v>
      </c>
      <c r="F30" s="757"/>
      <c r="G30" s="756">
        <v>304000</v>
      </c>
      <c r="H30" s="757"/>
      <c r="I30" s="278"/>
      <c r="J30" s="429"/>
      <c r="K30" s="429"/>
      <c r="L30" s="429"/>
      <c r="M30" s="353"/>
      <c r="N30" s="341"/>
      <c r="O30" s="353"/>
      <c r="P30" s="353"/>
      <c r="Q30" s="353"/>
      <c r="R30" s="353"/>
    </row>
    <row r="31" spans="1:18" s="116" customFormat="1" ht="12.75" customHeight="1">
      <c r="A31" s="353"/>
      <c r="B31" s="754"/>
      <c r="C31" s="760" t="s">
        <v>76</v>
      </c>
      <c r="D31" s="761"/>
      <c r="E31" s="756">
        <v>37000</v>
      </c>
      <c r="F31" s="757"/>
      <c r="G31" s="756">
        <v>56000</v>
      </c>
      <c r="H31" s="757"/>
      <c r="I31" s="278"/>
      <c r="J31" s="429"/>
      <c r="K31" s="429"/>
      <c r="L31" s="429"/>
      <c r="M31" s="353"/>
      <c r="N31" s="341"/>
      <c r="O31" s="353"/>
      <c r="P31" s="353"/>
      <c r="Q31" s="353"/>
      <c r="R31" s="353"/>
    </row>
    <row r="32" spans="1:18" s="120" customFormat="1" ht="12.75" customHeight="1">
      <c r="A32" s="353"/>
      <c r="B32" s="754"/>
      <c r="C32" s="760" t="s">
        <v>77</v>
      </c>
      <c r="D32" s="761"/>
      <c r="E32" s="756">
        <v>518000</v>
      </c>
      <c r="F32" s="757"/>
      <c r="G32" s="756">
        <v>785000</v>
      </c>
      <c r="H32" s="757"/>
      <c r="I32" s="278"/>
      <c r="J32" s="429"/>
      <c r="K32" s="429"/>
      <c r="L32" s="429"/>
      <c r="M32" s="353"/>
      <c r="N32" s="341"/>
      <c r="O32" s="353"/>
      <c r="P32" s="353"/>
      <c r="Q32" s="353"/>
      <c r="R32" s="353"/>
    </row>
    <row r="33" spans="1:14" s="120" customFormat="1" ht="12.75" customHeight="1">
      <c r="A33" s="353"/>
      <c r="B33" s="754"/>
      <c r="C33" s="760" t="str">
        <f>IF('Język - Language'!$B$30="Polski","Pakiet Money ROS","Money Run On Site")</f>
        <v>Pakiet Money ROS</v>
      </c>
      <c r="D33" s="761"/>
      <c r="E33" s="756">
        <v>514000</v>
      </c>
      <c r="F33" s="757"/>
      <c r="G33" s="756">
        <v>771000</v>
      </c>
      <c r="H33" s="757"/>
      <c r="I33" s="278"/>
      <c r="J33" s="429"/>
      <c r="K33" s="429"/>
      <c r="L33" s="429"/>
      <c r="M33" s="353"/>
      <c r="N33" s="341"/>
    </row>
    <row r="34" spans="1:14" s="120" customFormat="1" ht="12.75" customHeight="1">
      <c r="A34" s="353"/>
      <c r="B34" s="754"/>
      <c r="C34" s="760" t="s">
        <v>78</v>
      </c>
      <c r="D34" s="761"/>
      <c r="E34" s="756">
        <v>24000</v>
      </c>
      <c r="F34" s="757"/>
      <c r="G34" s="756">
        <v>35000</v>
      </c>
      <c r="H34" s="757"/>
      <c r="I34" s="278"/>
      <c r="J34" s="429"/>
      <c r="K34" s="429"/>
      <c r="L34" s="429"/>
      <c r="M34" s="353"/>
      <c r="N34" s="341"/>
    </row>
    <row r="35" spans="1:14" s="120" customFormat="1" ht="12.75" customHeight="1">
      <c r="A35" s="353"/>
      <c r="B35" s="754"/>
      <c r="C35" s="760" t="s">
        <v>79</v>
      </c>
      <c r="D35" s="761"/>
      <c r="E35" s="756">
        <v>9700</v>
      </c>
      <c r="F35" s="757"/>
      <c r="G35" s="756">
        <v>14500</v>
      </c>
      <c r="H35" s="757"/>
      <c r="I35" s="278"/>
      <c r="J35" s="429"/>
      <c r="K35" s="429"/>
      <c r="L35" s="429"/>
      <c r="M35" s="353"/>
      <c r="N35" s="341"/>
    </row>
    <row r="36" spans="1:14" s="120" customFormat="1" ht="12.75" customHeight="1">
      <c r="A36" s="353"/>
      <c r="B36" s="754"/>
      <c r="C36" s="760" t="s">
        <v>80</v>
      </c>
      <c r="D36" s="761"/>
      <c r="E36" s="756">
        <v>45000</v>
      </c>
      <c r="F36" s="757"/>
      <c r="G36" s="756">
        <v>68000</v>
      </c>
      <c r="H36" s="757"/>
      <c r="I36" s="278"/>
      <c r="J36" s="429"/>
      <c r="K36" s="429"/>
      <c r="L36" s="429"/>
      <c r="M36" s="353"/>
      <c r="N36" s="341"/>
    </row>
    <row r="37" spans="1:14" s="120" customFormat="1" ht="12.75" customHeight="1">
      <c r="A37" s="353"/>
      <c r="B37" s="754"/>
      <c r="C37" s="760" t="s">
        <v>66</v>
      </c>
      <c r="D37" s="761"/>
      <c r="E37" s="756">
        <v>45500</v>
      </c>
      <c r="F37" s="757"/>
      <c r="G37" s="756">
        <v>69000</v>
      </c>
      <c r="H37" s="757"/>
      <c r="I37" s="278"/>
      <c r="J37" s="429"/>
      <c r="K37" s="429"/>
      <c r="L37" s="429"/>
      <c r="M37" s="353"/>
      <c r="N37" s="341"/>
    </row>
    <row r="38" spans="1:14" s="120" customFormat="1" ht="12.75" customHeight="1">
      <c r="A38" s="353"/>
      <c r="B38" s="754"/>
      <c r="C38" s="760" t="s">
        <v>81</v>
      </c>
      <c r="D38" s="761"/>
      <c r="E38" s="756">
        <v>11000</v>
      </c>
      <c r="F38" s="757"/>
      <c r="G38" s="756">
        <v>16000</v>
      </c>
      <c r="H38" s="757"/>
      <c r="I38" s="278"/>
      <c r="J38" s="429"/>
      <c r="K38" s="429"/>
      <c r="L38" s="429"/>
      <c r="M38" s="353"/>
      <c r="N38" s="341"/>
    </row>
    <row r="39" spans="1:14" s="120" customFormat="1" ht="12.75" customHeight="1">
      <c r="A39" s="353"/>
      <c r="B39" s="754"/>
      <c r="C39" s="760" t="s">
        <v>82</v>
      </c>
      <c r="D39" s="761"/>
      <c r="E39" s="756">
        <v>57000</v>
      </c>
      <c r="F39" s="757"/>
      <c r="G39" s="756">
        <v>86000</v>
      </c>
      <c r="H39" s="757"/>
      <c r="I39" s="278"/>
      <c r="J39" s="429"/>
      <c r="K39" s="429"/>
      <c r="L39" s="429"/>
      <c r="M39" s="353"/>
      <c r="N39" s="341"/>
    </row>
    <row r="40" spans="1:14" s="116" customFormat="1" ht="12.75" customHeight="1">
      <c r="A40" s="353"/>
      <c r="B40" s="754"/>
      <c r="C40" s="783" t="s">
        <v>83</v>
      </c>
      <c r="D40" s="784"/>
      <c r="E40" s="793">
        <v>14000</v>
      </c>
      <c r="F40" s="794"/>
      <c r="G40" s="793">
        <v>21000</v>
      </c>
      <c r="H40" s="794"/>
      <c r="I40" s="278"/>
      <c r="J40" s="429"/>
      <c r="K40" s="429"/>
      <c r="L40" s="429"/>
      <c r="M40" s="353"/>
      <c r="N40" s="341"/>
    </row>
    <row r="41" spans="1:14" s="277" customFormat="1" ht="12.75" customHeight="1">
      <c r="A41" s="353"/>
      <c r="B41" s="271"/>
      <c r="C41" s="276"/>
      <c r="D41" s="276"/>
      <c r="E41" s="275"/>
      <c r="F41" s="275"/>
      <c r="G41" s="275"/>
      <c r="H41" s="275"/>
      <c r="I41" s="278"/>
      <c r="J41" s="429"/>
      <c r="K41" s="429"/>
      <c r="L41" s="429"/>
      <c r="M41" s="353"/>
      <c r="N41" s="341"/>
    </row>
    <row r="42" spans="1:14" s="119" customFormat="1" ht="12.75" customHeight="1">
      <c r="A42" s="353"/>
      <c r="B42" s="353"/>
      <c r="C42" s="121"/>
      <c r="D42" s="121"/>
      <c r="E42" s="122"/>
      <c r="F42" s="122"/>
      <c r="G42" s="122"/>
      <c r="H42" s="122"/>
      <c r="I42" s="429"/>
      <c r="J42" s="429"/>
      <c r="K42" s="429"/>
      <c r="L42" s="353"/>
      <c r="M42" s="341"/>
      <c r="N42" s="353"/>
    </row>
    <row r="43" spans="1:14" s="126" customFormat="1" ht="25.5" customHeight="1">
      <c r="A43" s="353"/>
      <c r="B43" s="353"/>
      <c r="C43" s="800" t="str">
        <f>IF('Język - Language'!$B$30="Polski",CONCATENATE("SPONSORING NAGŁÓWKA SEKCJI WP SG",CHAR(10),"MIEJSCE EMISJI"),CONCATENATE("SPONSORING OF WP HP SECTION HEADING",CHAR(10),"PLACE OF EMISSION"))</f>
        <v>SPONSORING NAGŁÓWKA SEKCJI WP SG
MIEJSCE EMISJI</v>
      </c>
      <c r="D43" s="800"/>
      <c r="E43" s="232" t="str">
        <f>IF('Język - Language'!$B$30="Polski","MODEL EMISJI","MODEL OF EMISSION")</f>
        <v>MODEL EMISJI</v>
      </c>
      <c r="F43" s="232" t="str">
        <f>IF('Język - Language'!$B$30="Polski","DZIEŃ","1 DAY")</f>
        <v>DZIEŃ</v>
      </c>
      <c r="G43" s="232" t="str">
        <f>IF('Język - Language'!$B$30="Polski","TYDZIEŃ","1 WEEK")</f>
        <v>TYDZIEŃ</v>
      </c>
      <c r="H43" s="233" t="str">
        <f>IF('Język - Language'!$B$30="Polski","MIESIĄC","1 MONTH")</f>
        <v>MIESIĄC</v>
      </c>
      <c r="I43" s="429"/>
      <c r="J43" s="429"/>
      <c r="K43" s="429"/>
      <c r="L43" s="353"/>
      <c r="M43" s="341"/>
      <c r="N43" s="353"/>
    </row>
    <row r="44" spans="1:14" s="126" customFormat="1" ht="12.75" customHeight="1">
      <c r="A44" s="353"/>
      <c r="B44" s="754" t="s">
        <v>65</v>
      </c>
      <c r="C44" s="212" t="s">
        <v>84</v>
      </c>
      <c r="D44" s="213"/>
      <c r="E44" s="812" t="str">
        <f>IF('Język - Language'!$B$30="Polski","Flat Fee","Flat Fee")</f>
        <v>Flat Fee</v>
      </c>
      <c r="F44" s="264">
        <v>39600</v>
      </c>
      <c r="G44" s="264">
        <v>198000</v>
      </c>
      <c r="H44" s="265">
        <v>495000</v>
      </c>
      <c r="I44" s="429"/>
      <c r="J44" s="429"/>
      <c r="K44" s="429"/>
      <c r="L44" s="353"/>
      <c r="M44" s="341"/>
      <c r="N44" s="353"/>
    </row>
    <row r="45" spans="1:14" s="126" customFormat="1" ht="12.75" customHeight="1">
      <c r="A45" s="353"/>
      <c r="B45" s="754"/>
      <c r="C45" s="214" t="s">
        <v>85</v>
      </c>
      <c r="D45" s="215"/>
      <c r="E45" s="812"/>
      <c r="F45" s="266">
        <v>32760</v>
      </c>
      <c r="G45" s="266">
        <v>163800</v>
      </c>
      <c r="H45" s="267">
        <v>409500</v>
      </c>
      <c r="I45" s="429"/>
      <c r="J45" s="429"/>
      <c r="K45" s="429"/>
      <c r="L45" s="353"/>
      <c r="M45" s="341"/>
      <c r="N45" s="353"/>
    </row>
    <row r="46" spans="1:14" s="126" customFormat="1" ht="12.75" customHeight="1">
      <c r="A46" s="353"/>
      <c r="B46" s="754"/>
      <c r="C46" s="214" t="s">
        <v>86</v>
      </c>
      <c r="D46" s="215"/>
      <c r="E46" s="812"/>
      <c r="F46" s="266">
        <v>29160</v>
      </c>
      <c r="G46" s="266">
        <v>145800</v>
      </c>
      <c r="H46" s="266">
        <v>364500</v>
      </c>
      <c r="I46" s="429"/>
      <c r="J46" s="429"/>
      <c r="K46" s="429"/>
      <c r="L46" s="353"/>
      <c r="M46" s="341"/>
      <c r="N46" s="353"/>
    </row>
    <row r="47" spans="1:14" s="126" customFormat="1" ht="12.75" customHeight="1">
      <c r="A47" s="353"/>
      <c r="B47" s="754"/>
      <c r="C47" s="214" t="s">
        <v>87</v>
      </c>
      <c r="D47" s="215"/>
      <c r="E47" s="812"/>
      <c r="F47" s="266">
        <v>22680</v>
      </c>
      <c r="G47" s="266">
        <v>113400</v>
      </c>
      <c r="H47" s="266">
        <v>283500</v>
      </c>
      <c r="I47" s="429"/>
      <c r="J47" s="429"/>
      <c r="K47" s="429"/>
      <c r="L47" s="353"/>
      <c r="M47" s="341"/>
      <c r="N47" s="353"/>
    </row>
    <row r="48" spans="1:14" s="127" customFormat="1" ht="12.75" customHeight="1">
      <c r="A48" s="353"/>
      <c r="B48" s="754"/>
      <c r="C48" s="214" t="s">
        <v>88</v>
      </c>
      <c r="D48" s="215"/>
      <c r="E48" s="812"/>
      <c r="F48" s="266">
        <v>25560</v>
      </c>
      <c r="G48" s="266">
        <v>127800</v>
      </c>
      <c r="H48" s="267">
        <v>319500</v>
      </c>
      <c r="I48" s="429"/>
      <c r="J48" s="429"/>
      <c r="K48" s="429"/>
      <c r="L48" s="353"/>
      <c r="M48" s="341"/>
      <c r="N48" s="353"/>
    </row>
    <row r="49" spans="1:17" s="128" customFormat="1" ht="12.75" customHeight="1">
      <c r="A49" s="353"/>
      <c r="B49" s="754"/>
      <c r="C49" s="216" t="s">
        <v>89</v>
      </c>
      <c r="D49" s="215"/>
      <c r="E49" s="812"/>
      <c r="F49" s="266">
        <v>24120</v>
      </c>
      <c r="G49" s="267">
        <v>120600</v>
      </c>
      <c r="H49" s="267">
        <v>301500</v>
      </c>
      <c r="I49" s="429"/>
      <c r="J49" s="429"/>
      <c r="K49" s="429"/>
      <c r="L49" s="353"/>
      <c r="M49" s="341"/>
      <c r="N49" s="353"/>
      <c r="O49" s="353"/>
      <c r="P49" s="353"/>
      <c r="Q49" s="353"/>
    </row>
    <row r="50" spans="1:17" s="128" customFormat="1" ht="12.75" customHeight="1">
      <c r="A50" s="353"/>
      <c r="B50" s="754"/>
      <c r="C50" s="217" t="s">
        <v>90</v>
      </c>
      <c r="D50" s="218"/>
      <c r="E50" s="813"/>
      <c r="F50" s="268">
        <v>21600</v>
      </c>
      <c r="G50" s="263">
        <v>108000</v>
      </c>
      <c r="H50" s="263">
        <v>270000</v>
      </c>
      <c r="I50" s="429"/>
      <c r="J50" s="429"/>
      <c r="K50" s="429"/>
      <c r="L50" s="353"/>
      <c r="M50" s="341"/>
      <c r="N50" s="353"/>
      <c r="O50" s="353"/>
      <c r="P50" s="353"/>
      <c r="Q50" s="353"/>
    </row>
    <row r="51" spans="1:17" s="277" customFormat="1" ht="12.75" customHeight="1">
      <c r="A51" s="353"/>
      <c r="B51" s="271"/>
      <c r="C51" s="269"/>
      <c r="D51" s="269"/>
      <c r="E51" s="463"/>
      <c r="F51" s="270"/>
      <c r="G51" s="270"/>
      <c r="H51" s="270"/>
      <c r="I51" s="429"/>
      <c r="J51" s="429"/>
      <c r="K51" s="429"/>
      <c r="L51" s="353"/>
      <c r="M51" s="341"/>
      <c r="N51" s="353"/>
      <c r="O51" s="353"/>
      <c r="P51" s="353"/>
      <c r="Q51" s="353"/>
    </row>
    <row r="52" spans="1:17">
      <c r="A52" s="353"/>
      <c r="B52" s="353"/>
      <c r="C52" s="33"/>
      <c r="D52" s="33"/>
      <c r="E52" s="33"/>
      <c r="F52" s="33"/>
      <c r="G52" s="33"/>
      <c r="H52" s="33"/>
      <c r="I52" s="33"/>
      <c r="J52" s="33"/>
      <c r="K52" s="33"/>
      <c r="L52" s="33"/>
      <c r="M52" s="33"/>
      <c r="N52" s="33"/>
      <c r="O52" s="33"/>
      <c r="P52" s="83"/>
      <c r="Q52" s="341"/>
    </row>
    <row r="53" spans="1:17" ht="25.5" customHeight="1">
      <c r="A53" s="353"/>
      <c r="B53" s="353"/>
      <c r="C53" s="209" t="str">
        <f>IF('Język - Language'!$B$30="Polski",CONCATENATE("POZOSTAŁE EMISJE FLAT FEE",CHAR(10),"MIEJSCE EMISJI"),CONCATENATE("OTHER FLAT FEE EMISSION",CHAR(10),"PLACE OF EMISSION"))</f>
        <v>POZOSTAŁE EMISJE FLAT FEE
MIEJSCE EMISJI</v>
      </c>
      <c r="D53" s="440" t="str">
        <f>IF('Język - Language'!$B$30="Polski","SEKCJA","PLACE OF EMISSION")</f>
        <v>SEKCJA</v>
      </c>
      <c r="E53" s="440" t="str">
        <f>IF('Język - Language'!$B$30="Polski","MODEL EMISJI","MODEL OF EMISSION")</f>
        <v>MODEL EMISJI</v>
      </c>
      <c r="F53" s="553" t="str">
        <f>IF('Język - Language'!$B$30="Polski","FORMAT","FORMAT")</f>
        <v>FORMAT</v>
      </c>
      <c r="G53" s="553"/>
      <c r="H53" s="451" t="str">
        <f>IF('Język - Language'!$B$30="Polski","CENA","PRICE")</f>
        <v>CENA</v>
      </c>
      <c r="I53" s="353"/>
      <c r="J53" s="353"/>
      <c r="K53" s="353"/>
      <c r="L53" s="353"/>
      <c r="M53" s="353"/>
      <c r="N53" s="353"/>
      <c r="O53" s="353"/>
      <c r="P53" s="353"/>
      <c r="Q53" s="353"/>
    </row>
    <row r="54" spans="1:17" s="82" customFormat="1" ht="12.75" customHeight="1">
      <c r="A54" s="353"/>
      <c r="B54" s="795" t="s">
        <v>64</v>
      </c>
      <c r="C54" s="785" t="str">
        <f>IF('Język - Language'!$B$30="Polski","WP SG","WP Home Page")</f>
        <v>WP SG</v>
      </c>
      <c r="D54" s="763" t="str">
        <f>IF('Język - Language'!$B$30="Polski","WP SG - MOBILE","WP Home Page - MOBILE")</f>
        <v>WP SG - MOBILE</v>
      </c>
      <c r="E54" s="412" t="str">
        <f>IF('Język - Language'!$B$30="Polski","Flat Fee / dzień","Flat Fee / 1 day")</f>
        <v>Flat Fee / dzień</v>
      </c>
      <c r="F54" s="796" t="str">
        <f>IF('Język - Language'!$B$30="Polski","Rectangle","Rectangle")</f>
        <v>Rectangle</v>
      </c>
      <c r="G54" s="797"/>
      <c r="H54" s="413">
        <v>60000</v>
      </c>
      <c r="I54" s="353"/>
      <c r="J54" s="353"/>
      <c r="K54" s="353"/>
      <c r="L54" s="353"/>
      <c r="M54" s="353"/>
      <c r="N54" s="353"/>
      <c r="O54" s="353"/>
      <c r="P54" s="353"/>
      <c r="Q54" s="353"/>
    </row>
    <row r="55" spans="1:17" s="82" customFormat="1" ht="12.75" customHeight="1">
      <c r="A55" s="353"/>
      <c r="B55" s="795"/>
      <c r="C55" s="785"/>
      <c r="D55" s="763"/>
      <c r="E55" s="466" t="str">
        <f>IF('Język - Language'!$B$30="Polski","Flat Fee / dzień","Flat Fee / 1 day")</f>
        <v>Flat Fee / dzień</v>
      </c>
      <c r="F55" s="798" t="str">
        <f>IF('Język - Language'!$B$30="Polski","Halfpage","Halfpage")</f>
        <v>Halfpage</v>
      </c>
      <c r="G55" s="799"/>
      <c r="H55" s="413">
        <v>90000</v>
      </c>
      <c r="I55" s="353"/>
      <c r="J55" s="353"/>
      <c r="K55" s="353"/>
      <c r="L55" s="353"/>
      <c r="M55" s="353"/>
      <c r="N55" s="353"/>
      <c r="O55" s="353"/>
      <c r="P55" s="353"/>
      <c r="Q55" s="353"/>
    </row>
    <row r="56" spans="1:17" s="91" customFormat="1" ht="12.75" customHeight="1">
      <c r="A56" s="353"/>
      <c r="B56" s="795"/>
      <c r="C56" s="786"/>
      <c r="D56" s="763"/>
      <c r="E56" s="414" t="str">
        <f>IF('Język - Language'!$B$30="Polski","Flat Fee / dzień","Flat Fee / 1 day")</f>
        <v>Flat Fee / dzień</v>
      </c>
      <c r="F56" s="798" t="str">
        <f>IF('Język - Language'!$B$30="Polski","Paralaksa","Paralaxa")</f>
        <v>Paralaksa</v>
      </c>
      <c r="G56" s="799"/>
      <c r="H56" s="413">
        <v>70000</v>
      </c>
      <c r="I56" s="353"/>
      <c r="J56" s="353"/>
      <c r="K56" s="353"/>
      <c r="L56" s="353"/>
      <c r="M56" s="353"/>
      <c r="N56" s="353"/>
      <c r="O56" s="353"/>
      <c r="P56" s="353"/>
      <c r="Q56" s="353"/>
    </row>
    <row r="57" spans="1:17" s="82" customFormat="1" ht="12.75" customHeight="1">
      <c r="A57" s="353"/>
      <c r="B57" s="754" t="s">
        <v>65</v>
      </c>
      <c r="C57" s="780" t="s">
        <v>91</v>
      </c>
      <c r="D57" s="764" t="str">
        <f>IF('Język - Language'!$B$30="Polski","ROS","ROS")</f>
        <v>ROS</v>
      </c>
      <c r="E57" s="764" t="str">
        <f>IF('Język - Language'!$B$30="Polski","Flat Fee / dzień","Flat Fee / 1 day")</f>
        <v>Flat Fee / dzień</v>
      </c>
      <c r="F57" s="791" t="str">
        <f>IF('Język - Language'!$B$30="Polski",CONCATENATE("Galeria ",CHAR(34),"Foto Moda",CHAR(34),": SG Box 225x280px (pod 1) / ROS 2. zajawka 340x99px ",CHAR(34),"Gorące tematy",CHAR(34)),CONCATENATE(CHAR(34),"Photo Fashion",CHAR(34)," Gallery: HP Box 225x280px (under no 1) / ROS 2nd teaser 340x99px ",CHAR(34),"Hot news",CHAR(34)))</f>
        <v>Galeria "Foto Moda": SG Box 225x280px (pod 1) / ROS 2. zajawka 340x99px "Gorące tematy"</v>
      </c>
      <c r="G57" s="792"/>
      <c r="H57" s="259">
        <v>17000</v>
      </c>
      <c r="I57" s="353"/>
      <c r="J57" s="83"/>
      <c r="K57" s="353"/>
      <c r="L57" s="353"/>
      <c r="M57" s="353"/>
      <c r="N57" s="353"/>
      <c r="O57" s="353"/>
      <c r="P57" s="353"/>
      <c r="Q57" s="353"/>
    </row>
    <row r="58" spans="1:17" s="82" customFormat="1" ht="12.75" customHeight="1">
      <c r="A58" s="353"/>
      <c r="B58" s="754"/>
      <c r="C58" s="781"/>
      <c r="D58" s="765"/>
      <c r="E58" s="765"/>
      <c r="F58" s="787" t="str">
        <f>IF('Język - Language'!$B$30="Polski",CONCATENATE("Galeria ",CHAR(34),"Foto Moda",CHAR(34),": SG Box 225x280px (pod 10) / ROS 4. zajawka 340x99px ",CHAR(34),"Gorące tematy",CHAR(34)),CONCATENATE(CHAR(34),"Photo Fashion",CHAR(34)," Gallery: HP Box 225x280px (under no 10) / ROS 4th teaser 340x99px ",CHAR(34),"Hot news",CHAR(34)))</f>
        <v>Galeria "Foto Moda": SG Box 225x280px (pod 10) / ROS 4. zajawka 340x99px "Gorące tematy"</v>
      </c>
      <c r="G58" s="788"/>
      <c r="H58" s="260">
        <v>8500</v>
      </c>
      <c r="I58" s="353"/>
      <c r="J58" s="83"/>
      <c r="K58" s="353"/>
      <c r="L58" s="353"/>
      <c r="M58" s="353"/>
      <c r="N58" s="353"/>
      <c r="O58" s="353"/>
      <c r="P58" s="353"/>
      <c r="Q58" s="353"/>
    </row>
    <row r="59" spans="1:17" s="82" customFormat="1" ht="12.75" customHeight="1">
      <c r="A59" s="353"/>
      <c r="B59" s="754"/>
      <c r="C59" s="781"/>
      <c r="D59" s="765"/>
      <c r="E59" s="801"/>
      <c r="F59" s="787" t="str">
        <f>IF('Język - Language'!$B$30="Polski",CONCATENATE("Galeria ",CHAR(34),"Foto Moda",CHAR(34),": SG Box 225x280px (pod 20) / ROS 8. zajawka 340x99px ",CHAR(34),"Gorące tematy",CHAR(34)),CONCATENATE(CHAR(34),"Photo Fashion",CHAR(34)," Gallery: HP Box 225x280px (under no 20) / ROS 8th teaser 340x99px ",CHAR(34),"Hot news",CHAR(34)))</f>
        <v>Galeria "Foto Moda": SG Box 225x280px (pod 20) / ROS 8. zajawka 340x99px "Gorące tematy"</v>
      </c>
      <c r="G59" s="788"/>
      <c r="H59" s="260">
        <v>7000</v>
      </c>
      <c r="I59" s="353"/>
      <c r="J59" s="83"/>
      <c r="K59" s="353"/>
      <c r="L59" s="353"/>
      <c r="M59" s="353"/>
      <c r="N59" s="353"/>
      <c r="O59" s="353"/>
      <c r="P59" s="353"/>
      <c r="Q59" s="353"/>
    </row>
    <row r="60" spans="1:17" s="82" customFormat="1" ht="12.75" customHeight="1">
      <c r="A60" s="353"/>
      <c r="B60" s="754"/>
      <c r="C60" s="781"/>
      <c r="D60" s="765"/>
      <c r="E60" s="765" t="str">
        <f>IF('Język - Language'!$B$30="Polski","Flat Fee / tydzień","Flat Fee / 1 week")</f>
        <v>Flat Fee / tydzień</v>
      </c>
      <c r="F60" s="787" t="str">
        <f>IF('Język - Language'!$B$30="Polski",CONCATENATE("Galeria ",CHAR(34),"Foto Moda",CHAR(34),": SG Box 225x280px (pod 1) / ROS 2. zajawka 340x99px ",CHAR(34),"Gorące tematy",CHAR(34)),CONCATENATE(CHAR(34),"Photo Fashion",CHAR(34)," Gallery: HP Box 225x280px (under no 1) / ROS 2nd teaser 340x99px ",CHAR(34),"Hot news",CHAR(34)))</f>
        <v>Galeria "Foto Moda": SG Box 225x280px (pod 1) / ROS 2. zajawka 340x99px "Gorące tematy"</v>
      </c>
      <c r="G60" s="788"/>
      <c r="H60" s="260">
        <v>100000</v>
      </c>
      <c r="I60" s="353"/>
      <c r="J60" s="83"/>
      <c r="K60" s="353"/>
      <c r="L60" s="353"/>
      <c r="M60" s="353"/>
      <c r="N60" s="353"/>
      <c r="O60" s="353"/>
      <c r="P60" s="353"/>
      <c r="Q60" s="353"/>
    </row>
    <row r="61" spans="1:17" s="82" customFormat="1" ht="12.75" customHeight="1">
      <c r="A61" s="353"/>
      <c r="B61" s="754"/>
      <c r="C61" s="781"/>
      <c r="D61" s="765"/>
      <c r="E61" s="765"/>
      <c r="F61" s="787" t="str">
        <f>IF('Język - Language'!$B$30="Polski",CONCATENATE("Galeria ",CHAR(34),"Foto Moda",CHAR(34),": SG Box 225x280px (pod 10) / ROS 4. zajawka 340x99px ",CHAR(34),"Gorące tematy",CHAR(34)),CONCATENATE(CHAR(34),"Photo Fashion",CHAR(34)," Gallery: HP Box 225x280px (under no 10) / ROS 4th teaser 340x99px ",CHAR(34),"Hot news",CHAR(34)))</f>
        <v>Galeria "Foto Moda": SG Box 225x280px (pod 10) / ROS 4. zajawka 340x99px "Gorące tematy"</v>
      </c>
      <c r="G61" s="788"/>
      <c r="H61" s="260">
        <v>50000</v>
      </c>
      <c r="I61" s="353"/>
      <c r="J61" s="83"/>
      <c r="K61" s="353"/>
      <c r="L61" s="353"/>
      <c r="M61" s="353"/>
      <c r="N61" s="353"/>
      <c r="O61" s="353"/>
      <c r="P61" s="353"/>
      <c r="Q61" s="353"/>
    </row>
    <row r="62" spans="1:17" s="82" customFormat="1" ht="12.75" customHeight="1">
      <c r="A62" s="353"/>
      <c r="B62" s="754"/>
      <c r="C62" s="781"/>
      <c r="D62" s="765"/>
      <c r="E62" s="766"/>
      <c r="F62" s="789" t="str">
        <f>IF('Język - Language'!$B$30="Polski",CONCATENATE("Galeria ",CHAR(34),"Foto Moda",CHAR(34),": SG Box 225x280px (pod 20) / ROS 8. zajawka 340x99px ",CHAR(34),"Gorące tematy",CHAR(34)),CONCATENATE(CHAR(34),"Photo Fashion",CHAR(34)," Gallery: HP Box 225x280px (under no 20) / ROS 8th teaser 340x99px ",CHAR(34),"Hot news",CHAR(34)))</f>
        <v>Galeria "Foto Moda": SG Box 225x280px (pod 20) / ROS 8. zajawka 340x99px "Gorące tematy"</v>
      </c>
      <c r="G62" s="790"/>
      <c r="H62" s="262">
        <v>40000</v>
      </c>
      <c r="I62" s="353"/>
      <c r="J62" s="83"/>
      <c r="K62" s="353"/>
      <c r="L62" s="353"/>
      <c r="M62" s="353"/>
      <c r="N62" s="353"/>
      <c r="O62" s="353"/>
      <c r="P62" s="353"/>
      <c r="Q62" s="353"/>
    </row>
    <row r="63" spans="1:17" s="82" customFormat="1" ht="12.75" customHeight="1">
      <c r="A63" s="353"/>
      <c r="B63" s="754"/>
      <c r="C63" s="781"/>
      <c r="D63" s="765"/>
      <c r="E63" s="219" t="str">
        <f>IF('Język - Language'!$B$30="Polski","Flat Fee / dzień","Flat Fee / 1 day")</f>
        <v>Flat Fee / dzień</v>
      </c>
      <c r="F63" s="791" t="str">
        <f>IF('Język - Language'!$B$30="Polski","Halfpage","Halfpage")</f>
        <v>Halfpage</v>
      </c>
      <c r="G63" s="792"/>
      <c r="H63" s="259">
        <v>70000</v>
      </c>
      <c r="I63" s="353"/>
      <c r="J63" s="83"/>
      <c r="K63" s="353"/>
      <c r="L63" s="353"/>
      <c r="M63" s="353"/>
      <c r="N63" s="353"/>
      <c r="O63" s="353"/>
      <c r="P63" s="353"/>
      <c r="Q63" s="353"/>
    </row>
    <row r="64" spans="1:17" s="82" customFormat="1" ht="12.75" customHeight="1">
      <c r="A64" s="353"/>
      <c r="B64" s="755"/>
      <c r="C64" s="782"/>
      <c r="D64" s="766"/>
      <c r="E64" s="465" t="str">
        <f>IF('Język - Language'!$B$30="Polski","Flat Fee / tydzień","Flat Fee / 1 week")</f>
        <v>Flat Fee / tydzień</v>
      </c>
      <c r="F64" s="789" t="str">
        <f>IF('Język - Language'!$B$30="Polski","Halfpage","Halfpage")</f>
        <v>Halfpage</v>
      </c>
      <c r="G64" s="790"/>
      <c r="H64" s="261">
        <v>210000</v>
      </c>
      <c r="I64" s="353"/>
      <c r="J64" s="83"/>
      <c r="K64" s="353"/>
      <c r="L64" s="353"/>
      <c r="M64" s="353"/>
      <c r="N64" s="353"/>
      <c r="O64" s="353"/>
      <c r="P64" s="353"/>
      <c r="Q64" s="353"/>
    </row>
    <row r="65" spans="3:15">
      <c r="C65" s="205" t="str">
        <f>IF('Język - Language'!$B$30="Polski","¹ cena uzależniona od statystyk w wybrane dni ","¹ price depends on daily statistics on a given day")</f>
        <v xml:space="preserve">¹ cena uzależniona od statystyk w wybrane dni </v>
      </c>
      <c r="D65" s="419"/>
      <c r="E65" s="419"/>
      <c r="F65" s="419"/>
      <c r="G65" s="419"/>
      <c r="H65" s="419"/>
      <c r="I65" s="353"/>
      <c r="J65" s="353"/>
      <c r="K65" s="353"/>
      <c r="L65" s="83"/>
      <c r="M65" s="353"/>
      <c r="N65" s="353"/>
      <c r="O65" s="353"/>
    </row>
    <row r="66" spans="3:15" ht="12.75" customHeight="1">
      <c r="C66" s="353"/>
      <c r="D66" s="353"/>
      <c r="E66" s="353"/>
      <c r="F66" s="353"/>
      <c r="G66" s="353"/>
      <c r="H66" s="353"/>
      <c r="I66" s="353"/>
      <c r="J66" s="353"/>
      <c r="K66" s="353"/>
      <c r="L66" s="353"/>
      <c r="M66" s="353"/>
      <c r="N66" s="353"/>
      <c r="O66" s="341"/>
    </row>
    <row r="68" spans="3:15">
      <c r="C68" s="114"/>
      <c r="D68" s="114"/>
      <c r="E68" s="114"/>
      <c r="F68" s="114"/>
      <c r="G68" s="114"/>
      <c r="H68" s="341"/>
      <c r="I68" s="353"/>
      <c r="J68" s="353"/>
      <c r="K68" s="353"/>
      <c r="L68" s="353"/>
      <c r="M68" s="353"/>
      <c r="N68" s="353"/>
      <c r="O68" s="353"/>
    </row>
    <row r="70" spans="3:15" ht="12.75" customHeight="1">
      <c r="C70" s="115"/>
      <c r="D70" s="762"/>
      <c r="E70" s="767"/>
      <c r="F70" s="467"/>
      <c r="G70" s="114"/>
      <c r="H70" s="341"/>
      <c r="I70" s="353"/>
      <c r="J70" s="353"/>
      <c r="K70" s="353"/>
      <c r="L70" s="353"/>
      <c r="M70" s="353"/>
      <c r="N70" s="353"/>
      <c r="O70" s="353"/>
    </row>
    <row r="71" spans="3:15" ht="12.75" customHeight="1">
      <c r="C71" s="115"/>
      <c r="D71" s="762"/>
      <c r="E71" s="767"/>
      <c r="F71" s="467"/>
      <c r="G71" s="114"/>
      <c r="H71" s="341"/>
      <c r="I71" s="353"/>
      <c r="J71" s="353"/>
      <c r="K71" s="353"/>
      <c r="L71" s="353"/>
      <c r="M71" s="353"/>
      <c r="N71" s="353"/>
      <c r="O71" s="353"/>
    </row>
    <row r="72" spans="3:15" ht="12.75" customHeight="1">
      <c r="C72" s="115"/>
      <c r="D72" s="762"/>
      <c r="E72" s="767"/>
      <c r="F72" s="467"/>
      <c r="G72" s="114"/>
      <c r="H72" s="341"/>
      <c r="I72" s="353"/>
      <c r="J72" s="353"/>
      <c r="K72" s="353"/>
      <c r="L72" s="353"/>
      <c r="M72" s="353"/>
      <c r="N72" s="353"/>
      <c r="O72" s="353"/>
    </row>
    <row r="73" spans="3:15" ht="12.75" customHeight="1">
      <c r="C73" s="115"/>
      <c r="D73" s="762"/>
      <c r="E73" s="767"/>
      <c r="F73" s="467"/>
      <c r="G73" s="114"/>
      <c r="H73" s="341"/>
      <c r="I73" s="425"/>
      <c r="J73" s="353"/>
      <c r="K73" s="353"/>
      <c r="L73" s="353"/>
      <c r="M73" s="353"/>
      <c r="N73" s="353"/>
      <c r="O73" s="353"/>
    </row>
    <row r="74" spans="3:15">
      <c r="C74" s="115"/>
      <c r="D74" s="762"/>
      <c r="E74" s="467"/>
      <c r="F74" s="467"/>
      <c r="G74" s="114"/>
      <c r="H74" s="341"/>
      <c r="I74" s="425"/>
      <c r="J74" s="353"/>
      <c r="K74" s="353"/>
      <c r="L74" s="353"/>
      <c r="M74" s="353"/>
      <c r="N74" s="353"/>
      <c r="O74" s="353"/>
    </row>
    <row r="75" spans="3:15">
      <c r="C75" s="353"/>
      <c r="D75" s="353"/>
      <c r="E75" s="353"/>
      <c r="F75" s="353"/>
      <c r="G75" s="353"/>
      <c r="H75" s="353"/>
      <c r="I75" s="425"/>
      <c r="J75" s="353"/>
      <c r="K75" s="353"/>
      <c r="L75" s="353"/>
      <c r="M75" s="353"/>
      <c r="N75" s="353"/>
      <c r="O75" s="353"/>
    </row>
    <row r="76" spans="3:15">
      <c r="C76" s="353"/>
      <c r="D76" s="353"/>
      <c r="E76" s="353"/>
      <c r="F76" s="353"/>
      <c r="G76" s="353"/>
      <c r="H76" s="353"/>
      <c r="I76" s="425"/>
      <c r="J76" s="353"/>
      <c r="K76" s="353"/>
      <c r="L76" s="353"/>
      <c r="M76" s="353"/>
      <c r="N76" s="353"/>
      <c r="O76" s="353"/>
    </row>
  </sheetData>
  <mergeCells count="97">
    <mergeCell ref="C8:C10"/>
    <mergeCell ref="C31:D31"/>
    <mergeCell ref="G11:H11"/>
    <mergeCell ref="C38:D38"/>
    <mergeCell ref="C39:D39"/>
    <mergeCell ref="C32:D32"/>
    <mergeCell ref="C33:D33"/>
    <mergeCell ref="C34:D34"/>
    <mergeCell ref="C35:D35"/>
    <mergeCell ref="C36:D36"/>
    <mergeCell ref="C37:D37"/>
    <mergeCell ref="C25:D25"/>
    <mergeCell ref="C28:D28"/>
    <mergeCell ref="C26:D26"/>
    <mergeCell ref="D13:D21"/>
    <mergeCell ref="C11:C12"/>
    <mergeCell ref="E1:H3"/>
    <mergeCell ref="E44:E50"/>
    <mergeCell ref="E37:F37"/>
    <mergeCell ref="F56:G56"/>
    <mergeCell ref="G28:H28"/>
    <mergeCell ref="E8:F10"/>
    <mergeCell ref="F59:G59"/>
    <mergeCell ref="F60:G60"/>
    <mergeCell ref="E57:E59"/>
    <mergeCell ref="E60:E62"/>
    <mergeCell ref="E7:F7"/>
    <mergeCell ref="G17:H17"/>
    <mergeCell ref="G15:H15"/>
    <mergeCell ref="G13:H13"/>
    <mergeCell ref="G12:H12"/>
    <mergeCell ref="G20:H20"/>
    <mergeCell ref="E11:F12"/>
    <mergeCell ref="E20:F21"/>
    <mergeCell ref="G18:H18"/>
    <mergeCell ref="E27:F27"/>
    <mergeCell ref="E13:F13"/>
    <mergeCell ref="G21:H21"/>
    <mergeCell ref="C27:D27"/>
    <mergeCell ref="F54:G54"/>
    <mergeCell ref="F53:G53"/>
    <mergeCell ref="F55:G55"/>
    <mergeCell ref="G27:H27"/>
    <mergeCell ref="C43:D43"/>
    <mergeCell ref="E40:F40"/>
    <mergeCell ref="G32:H32"/>
    <mergeCell ref="E28:F28"/>
    <mergeCell ref="G29:H29"/>
    <mergeCell ref="E29:F29"/>
    <mergeCell ref="C57:C64"/>
    <mergeCell ref="E33:F33"/>
    <mergeCell ref="B57:B64"/>
    <mergeCell ref="C40:D40"/>
    <mergeCell ref="C54:C56"/>
    <mergeCell ref="F61:G61"/>
    <mergeCell ref="F62:G62"/>
    <mergeCell ref="F63:G63"/>
    <mergeCell ref="G40:H40"/>
    <mergeCell ref="F58:G58"/>
    <mergeCell ref="B44:B50"/>
    <mergeCell ref="F64:G64"/>
    <mergeCell ref="F57:G57"/>
    <mergeCell ref="G33:H33"/>
    <mergeCell ref="E36:F36"/>
    <mergeCell ref="B54:B56"/>
    <mergeCell ref="D70:D74"/>
    <mergeCell ref="D54:D56"/>
    <mergeCell ref="D57:D64"/>
    <mergeCell ref="E70:E73"/>
    <mergeCell ref="G7:H7"/>
    <mergeCell ref="E35:F35"/>
    <mergeCell ref="G19:H19"/>
    <mergeCell ref="G31:H31"/>
    <mergeCell ref="E31:F31"/>
    <mergeCell ref="G26:H26"/>
    <mergeCell ref="G16:H16"/>
    <mergeCell ref="E30:F30"/>
    <mergeCell ref="E26:F26"/>
    <mergeCell ref="E25:F25"/>
    <mergeCell ref="E14:F19"/>
    <mergeCell ref="G25:H25"/>
    <mergeCell ref="B9:B21"/>
    <mergeCell ref="B26:B40"/>
    <mergeCell ref="E32:F32"/>
    <mergeCell ref="G35:H35"/>
    <mergeCell ref="G14:H14"/>
    <mergeCell ref="C29:D29"/>
    <mergeCell ref="C30:D30"/>
    <mergeCell ref="E39:F39"/>
    <mergeCell ref="G36:H36"/>
    <mergeCell ref="G30:H30"/>
    <mergeCell ref="G37:H37"/>
    <mergeCell ref="G38:H38"/>
    <mergeCell ref="G39:H39"/>
    <mergeCell ref="E38:F38"/>
    <mergeCell ref="G34:H34"/>
    <mergeCell ref="E34:F34"/>
  </mergeCells>
  <pageMargins left="0.7" right="0.7" top="0.75" bottom="0.75" header="0.3" footer="0.3"/>
  <pageSetup paperSize="256" scale="55" fitToHeight="0" orientation="landscape" r:id="rId1"/>
  <ignoredErrors>
    <ignoredError sqref="D11:D12 D10 E64"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Q37"/>
  <sheetViews>
    <sheetView zoomScaleNormal="100" workbookViewId="0">
      <pane ySplit="4" topLeftCell="A5" activePane="bottomLeft" state="frozen"/>
      <selection pane="bottomLeft"/>
    </sheetView>
  </sheetViews>
  <sheetFormatPr defaultColWidth="25" defaultRowHeight="12.75"/>
  <cols>
    <col min="1" max="1" width="5.7109375" style="2" customWidth="1"/>
    <col min="2" max="2" width="28.42578125" style="2" customWidth="1"/>
    <col min="3" max="3" width="20" style="2" customWidth="1"/>
    <col min="4" max="4" width="20" style="283" customWidth="1"/>
    <col min="5" max="9" width="20" style="2" customWidth="1"/>
    <col min="10" max="10" width="14.28515625" style="2" customWidth="1"/>
    <col min="11" max="16384" width="25" style="2"/>
  </cols>
  <sheetData>
    <row r="1" spans="1:8" ht="12.75" customHeight="1">
      <c r="A1" s="353"/>
      <c r="B1" s="353"/>
      <c r="C1" s="523"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D1" s="523"/>
      <c r="E1" s="523"/>
      <c r="F1" s="523"/>
      <c r="G1" s="523"/>
      <c r="H1" s="355"/>
    </row>
    <row r="2" spans="1:8" ht="12.75" customHeight="1">
      <c r="A2" s="353"/>
      <c r="B2" s="353"/>
      <c r="C2" s="523"/>
      <c r="D2" s="523"/>
      <c r="E2" s="523"/>
      <c r="F2" s="523"/>
      <c r="G2" s="523"/>
      <c r="H2" s="355"/>
    </row>
    <row r="3" spans="1:8" ht="12.75" customHeight="1">
      <c r="A3" s="353"/>
      <c r="B3" s="353"/>
      <c r="C3" s="523"/>
      <c r="D3" s="523"/>
      <c r="E3" s="523"/>
      <c r="F3" s="523"/>
      <c r="G3" s="523"/>
      <c r="H3" s="355"/>
    </row>
    <row r="4" spans="1:8" s="35" customFormat="1" ht="12.75" customHeight="1">
      <c r="A4" s="356"/>
      <c r="B4" s="36" t="str">
        <f>IF('Język - Language'!$B$30="Polski","            Poczta - Mailing reklamowy, emisje stałe","            Email service - Advertising mailing, flat fee emissions")</f>
        <v xml:space="preserve">            Poczta - Mailing reklamowy, emisje stałe</v>
      </c>
      <c r="C4" s="356"/>
      <c r="D4" s="356"/>
      <c r="E4" s="356"/>
      <c r="F4" s="356"/>
      <c r="G4" s="340" t="str">
        <f>IF('Język - Language'!$B$30="Polski","PL","EN")</f>
        <v>PL</v>
      </c>
      <c r="H4" s="356"/>
    </row>
    <row r="5" spans="1:8" ht="12.75" customHeight="1">
      <c r="A5" s="353"/>
      <c r="B5" s="353"/>
      <c r="C5" s="353"/>
      <c r="D5" s="353"/>
      <c r="E5" s="353"/>
      <c r="F5" s="353"/>
      <c r="G5" s="353"/>
      <c r="H5" s="353"/>
    </row>
    <row r="6" spans="1:8" ht="12.75" customHeight="1">
      <c r="A6" s="353"/>
      <c r="B6" s="341"/>
      <c r="C6" s="341"/>
      <c r="D6" s="341"/>
      <c r="E6" s="341"/>
      <c r="F6" s="341"/>
      <c r="G6" s="341"/>
      <c r="H6" s="353"/>
    </row>
    <row r="7" spans="1:8">
      <c r="A7" s="341"/>
      <c r="B7" s="826" t="str">
        <f>IF('Język - Language'!$B$30="Polski","MIEJSCE EMISJI","PLACE OF EMISSION")</f>
        <v>MIEJSCE EMISJI</v>
      </c>
      <c r="C7" s="648" t="str">
        <f>IF('Język - Language'!$B$30="Polski","FORMAT GRAFICZNY","ADVERTISING FORMAT
")</f>
        <v>FORMAT GRAFICZNY</v>
      </c>
      <c r="D7" s="441"/>
      <c r="E7" s="825" t="s">
        <v>92</v>
      </c>
      <c r="F7" s="825"/>
      <c r="G7" s="222" t="s">
        <v>93</v>
      </c>
      <c r="H7" s="353"/>
    </row>
    <row r="8" spans="1:8" ht="12.75" customHeight="1">
      <c r="A8" s="341"/>
      <c r="B8" s="826"/>
      <c r="C8" s="648"/>
      <c r="D8" s="441"/>
      <c r="E8" s="470" t="str">
        <f>IF('Język - Language'!$B$30="Polski","DZIEŃ","DAY")</f>
        <v>DZIEŃ</v>
      </c>
      <c r="F8" s="441" t="str">
        <f>IF('Język - Language'!$B$30="Polski","TYDZIEŃ","WEEK")</f>
        <v>TYDZIEŃ</v>
      </c>
      <c r="G8" s="471" t="str">
        <f>IF('Język - Language'!$B$30="Polski","TYDZIEŃ","WEEK")</f>
        <v>TYDZIEŃ</v>
      </c>
      <c r="H8" s="55"/>
    </row>
    <row r="9" spans="1:8" ht="12.75" customHeight="1">
      <c r="A9" s="353"/>
      <c r="B9" s="822" t="str">
        <f>IF('Język - Language'!$B$30="Polski","Strona logowania Poczty","Logging in")</f>
        <v>Strona logowania Poczty</v>
      </c>
      <c r="C9" s="642" t="str">
        <f>IF('Język - Language'!$B$30="Polski","Login Box","Login Box")</f>
        <v>Login Box</v>
      </c>
      <c r="D9" s="644"/>
      <c r="E9" s="367" t="s">
        <v>94</v>
      </c>
      <c r="F9" s="367">
        <v>350000</v>
      </c>
      <c r="G9" s="247">
        <v>100000</v>
      </c>
      <c r="H9" s="353"/>
    </row>
    <row r="10" spans="1:8" s="52" customFormat="1" ht="12.75" customHeight="1">
      <c r="A10" s="353"/>
      <c r="B10" s="822"/>
      <c r="C10" s="577" t="str">
        <f>IF('Język - Language'!$B$30="Polski","Full Page Login Box","Full Page Login Box")</f>
        <v>Full Page Login Box</v>
      </c>
      <c r="D10" s="579"/>
      <c r="E10" s="248" t="s">
        <v>94</v>
      </c>
      <c r="F10" s="249">
        <v>615000</v>
      </c>
      <c r="G10" s="250">
        <v>150000</v>
      </c>
      <c r="H10" s="353"/>
    </row>
    <row r="11" spans="1:8" s="52" customFormat="1" ht="12.75" customHeight="1">
      <c r="A11" s="353"/>
      <c r="B11" s="822"/>
      <c r="C11" s="577" t="str">
        <f>IF('Język - Language'!$B$30="Polski","Mobile Login Box","Mobile Login Box")</f>
        <v>Mobile Login Box</v>
      </c>
      <c r="D11" s="579"/>
      <c r="E11" s="248" t="s">
        <v>94</v>
      </c>
      <c r="F11" s="367">
        <v>240000</v>
      </c>
      <c r="G11" s="196">
        <v>70000</v>
      </c>
      <c r="H11" s="353"/>
    </row>
    <row r="12" spans="1:8" s="52" customFormat="1" ht="12.75" customHeight="1">
      <c r="A12" s="353"/>
      <c r="B12" s="822"/>
      <c r="C12" s="577" t="str">
        <f>IF('Język - Language'!$B$30="Polski","Login Corner + Login Box","Login Corner + Login Box")</f>
        <v>Login Corner + Login Box</v>
      </c>
      <c r="D12" s="579"/>
      <c r="E12" s="248" t="s">
        <v>94</v>
      </c>
      <c r="F12" s="248" t="s">
        <v>94</v>
      </c>
      <c r="G12" s="196">
        <v>165000</v>
      </c>
      <c r="H12" s="353"/>
    </row>
    <row r="13" spans="1:8" s="52" customFormat="1" ht="12.75" customHeight="1">
      <c r="A13" s="353"/>
      <c r="B13" s="822"/>
      <c r="C13" s="577" t="str">
        <f>IF('Język - Language'!$B$30="Polski","Login Corner + Full Page Login Box","Login Corner + Full Page Login Box")</f>
        <v>Login Corner + Full Page Login Box</v>
      </c>
      <c r="D13" s="579"/>
      <c r="E13" s="248" t="s">
        <v>94</v>
      </c>
      <c r="F13" s="248" t="s">
        <v>94</v>
      </c>
      <c r="G13" s="196">
        <v>230000</v>
      </c>
      <c r="H13" s="353"/>
    </row>
    <row r="14" spans="1:8" ht="12.75" customHeight="1">
      <c r="A14" s="353"/>
      <c r="B14" s="822"/>
      <c r="C14" s="831" t="str">
        <f>IF('Język - Language'!$B$30="Polski","Login Corner + Full Page Login Box (desktop + mobile)","Login Corner + Full Page Login Box (desktop + mobile)")</f>
        <v>Login Corner + Full Page Login Box (desktop + mobile)</v>
      </c>
      <c r="D14" s="832"/>
      <c r="E14" s="251" t="s">
        <v>94</v>
      </c>
      <c r="F14" s="252" t="s">
        <v>94</v>
      </c>
      <c r="G14" s="253">
        <v>265000</v>
      </c>
      <c r="H14" s="353"/>
    </row>
    <row r="15" spans="1:8" s="283" customFormat="1" ht="12.75" customHeight="1">
      <c r="A15" s="353"/>
      <c r="B15" s="823"/>
      <c r="C15" s="829" t="str">
        <f>IF('Język - Language'!$B$30="Polski","Login Box Poczta O2 + Login Corner SG O2","Login Box in Email Service O2 + Login Corner O2 HP")</f>
        <v>Login Box Poczta O2 + Login Corner SG O2</v>
      </c>
      <c r="D15" s="830"/>
      <c r="E15" s="256" t="s">
        <v>94</v>
      </c>
      <c r="F15" s="339" t="s">
        <v>94</v>
      </c>
      <c r="G15" s="339">
        <v>165000</v>
      </c>
      <c r="H15" s="353"/>
    </row>
    <row r="16" spans="1:8" s="57" customFormat="1" ht="12.75" customHeight="1">
      <c r="A16" s="353"/>
      <c r="B16" s="821" t="str">
        <f>IF('Język - Language'!$B$30="Polski","Interfejs Poczty","Email service interface")</f>
        <v>Interfejs Poczty</v>
      </c>
      <c r="C16" s="833" t="str">
        <f>IF('Język - Language'!$B$30="Polski","Double Billboard¹","Double Billboard¹")</f>
        <v>Double Billboard¹</v>
      </c>
      <c r="D16" s="834"/>
      <c r="E16" s="247">
        <v>90000</v>
      </c>
      <c r="F16" s="367">
        <v>300000</v>
      </c>
      <c r="G16" s="367">
        <v>75000</v>
      </c>
      <c r="H16" s="353"/>
    </row>
    <row r="17" spans="1:17" s="57" customFormat="1" ht="12.75" customHeight="1">
      <c r="A17" s="353"/>
      <c r="B17" s="822"/>
      <c r="C17" s="827" t="str">
        <f>IF('Język - Language'!$B$30="Polski","Panel Premium","Panel Premium")</f>
        <v>Panel Premium</v>
      </c>
      <c r="D17" s="828"/>
      <c r="E17" s="252">
        <v>110000</v>
      </c>
      <c r="F17" s="251" t="s">
        <v>94</v>
      </c>
      <c r="G17" s="251" t="s">
        <v>94</v>
      </c>
      <c r="H17" s="353"/>
      <c r="I17" s="353"/>
      <c r="J17" s="353"/>
      <c r="K17" s="353"/>
      <c r="L17" s="353"/>
      <c r="M17" s="353"/>
      <c r="N17" s="353"/>
      <c r="O17" s="353"/>
      <c r="P17" s="353"/>
      <c r="Q17" s="353"/>
    </row>
    <row r="18" spans="1:17" s="51" customFormat="1" ht="12.75" customHeight="1">
      <c r="A18" s="353"/>
      <c r="B18" s="822"/>
      <c r="C18" s="833" t="str">
        <f>IF('Język - Language'!$B$30="Polski","Left Box 170x200 (górny)","Left Box 170x200 (upper)")</f>
        <v>Left Box 170x200 (górny)</v>
      </c>
      <c r="D18" s="834"/>
      <c r="E18" s="247" t="s">
        <v>94</v>
      </c>
      <c r="F18" s="254">
        <v>115000</v>
      </c>
      <c r="G18" s="367">
        <v>90000</v>
      </c>
      <c r="H18" s="353"/>
      <c r="I18" s="353"/>
      <c r="J18" s="353"/>
      <c r="K18" s="353"/>
      <c r="L18" s="353"/>
      <c r="M18" s="353"/>
      <c r="N18" s="353"/>
      <c r="O18" s="353"/>
      <c r="P18" s="353"/>
      <c r="Q18" s="353"/>
    </row>
    <row r="19" spans="1:17" s="51" customFormat="1" ht="12.75" customHeight="1">
      <c r="A19" s="353"/>
      <c r="B19" s="822"/>
      <c r="C19" s="577" t="str">
        <f>IF('Język - Language'!$B$30="Polski","Left Box 170x200 (dolny)","Left Box 170x200 (lower)")</f>
        <v>Left Box 170x200 (dolny)</v>
      </c>
      <c r="D19" s="579"/>
      <c r="E19" s="250" t="s">
        <v>94</v>
      </c>
      <c r="F19" s="367">
        <v>115000</v>
      </c>
      <c r="G19" s="248">
        <v>90000</v>
      </c>
      <c r="H19" s="353"/>
      <c r="I19" s="353"/>
      <c r="J19" s="353"/>
      <c r="K19" s="353"/>
      <c r="L19" s="353"/>
      <c r="M19" s="353"/>
      <c r="N19" s="353"/>
      <c r="O19" s="353"/>
      <c r="P19" s="353"/>
      <c r="Q19" s="353"/>
    </row>
    <row r="20" spans="1:17" ht="12.75" customHeight="1">
      <c r="A20" s="353"/>
      <c r="B20" s="822"/>
      <c r="C20" s="577" t="str">
        <f>IF('Język - Language'!$B$30="Polski","Bottom Box","Bottom Box")</f>
        <v>Bottom Box</v>
      </c>
      <c r="D20" s="579"/>
      <c r="E20" s="249" t="s">
        <v>94</v>
      </c>
      <c r="F20" s="249">
        <v>300000</v>
      </c>
      <c r="G20" s="249">
        <v>60000</v>
      </c>
      <c r="H20" s="353"/>
      <c r="I20" s="353"/>
      <c r="J20" s="353"/>
      <c r="K20" s="353"/>
      <c r="L20" s="353"/>
      <c r="M20" s="353"/>
      <c r="N20" s="353"/>
      <c r="O20" s="353"/>
      <c r="P20" s="353"/>
      <c r="Q20" s="353"/>
    </row>
    <row r="21" spans="1:17" s="82" customFormat="1" ht="12.75" customHeight="1">
      <c r="A21" s="353"/>
      <c r="B21" s="822"/>
      <c r="C21" s="577" t="str">
        <f>IF('Język - Language'!$B$30="Polski","Skyscraper","Skyscraper")</f>
        <v>Skyscraper</v>
      </c>
      <c r="D21" s="579"/>
      <c r="E21" s="249" t="s">
        <v>94</v>
      </c>
      <c r="F21" s="249">
        <v>400000</v>
      </c>
      <c r="G21" s="249">
        <v>130000</v>
      </c>
      <c r="H21" s="353"/>
      <c r="I21" s="353"/>
      <c r="J21" s="353"/>
      <c r="K21" s="353"/>
      <c r="L21" s="353"/>
      <c r="M21" s="353"/>
      <c r="N21" s="353"/>
      <c r="O21" s="353"/>
      <c r="P21" s="353"/>
      <c r="Q21" s="353"/>
    </row>
    <row r="22" spans="1:17" s="47" customFormat="1" ht="12.75" customHeight="1">
      <c r="A22" s="353"/>
      <c r="B22" s="823"/>
      <c r="C22" s="827" t="str">
        <f>IF('Język - Language'!$B$30="Polski","Rectangle (podgląd załączników)","Rectangle (in a preview of attachments)")</f>
        <v>Rectangle (podgląd załączników)</v>
      </c>
      <c r="D22" s="828"/>
      <c r="E22" s="255" t="s">
        <v>94</v>
      </c>
      <c r="F22" s="255">
        <v>75000</v>
      </c>
      <c r="G22" s="255">
        <v>40000</v>
      </c>
      <c r="H22" s="353"/>
      <c r="I22" s="353"/>
      <c r="J22" s="353"/>
      <c r="K22" s="353"/>
      <c r="L22" s="353"/>
      <c r="M22" s="353"/>
      <c r="N22" s="353"/>
      <c r="O22" s="353"/>
      <c r="P22" s="353"/>
      <c r="Q22" s="353"/>
    </row>
    <row r="23" spans="1:17" s="82" customFormat="1" ht="12.75" customHeight="1">
      <c r="A23" s="353"/>
      <c r="B23" s="210" t="str">
        <f>IF('Język - Language'!$B$30="Polski","Po wylogowaniu z Poczty","After logging out")</f>
        <v>Po wylogowaniu z Poczty</v>
      </c>
      <c r="C23" s="835" t="str">
        <f>IF('Język - Language'!$B$30="Polski","Logout Box","Logout Box")</f>
        <v>Logout Box</v>
      </c>
      <c r="D23" s="836"/>
      <c r="E23" s="256" t="s">
        <v>94</v>
      </c>
      <c r="F23" s="256">
        <v>425000</v>
      </c>
      <c r="G23" s="256">
        <v>200000</v>
      </c>
      <c r="H23" s="353"/>
      <c r="I23" s="353"/>
      <c r="J23" s="353"/>
      <c r="K23" s="353"/>
      <c r="L23" s="353"/>
      <c r="M23" s="353"/>
      <c r="N23" s="353"/>
      <c r="O23" s="353"/>
      <c r="P23" s="353"/>
      <c r="Q23" s="353"/>
    </row>
    <row r="24" spans="1:17" ht="12.75" customHeight="1">
      <c r="A24" s="353"/>
      <c r="B24" s="281" t="str">
        <f>IF('Język - Language'!$B$30="Polski","¹ możliwość emisji formatu 970x300 jako Retail Dniówka z dopłatą","¹ special Retail Daily Emission is available for 970x300 format with extra charge")</f>
        <v>¹ możliwość emisji formatu 970x300 jako Retail Dniówka z dopłatą</v>
      </c>
      <c r="C24" s="4"/>
      <c r="D24" s="4"/>
      <c r="E24" s="4"/>
      <c r="F24" s="4"/>
      <c r="G24" s="4"/>
      <c r="H24" s="83"/>
      <c r="I24" s="353"/>
      <c r="J24" s="353"/>
      <c r="K24" s="353"/>
      <c r="L24" s="353"/>
      <c r="M24" s="353"/>
      <c r="N24" s="353"/>
      <c r="O24" s="353"/>
      <c r="P24" s="353"/>
      <c r="Q24" s="353"/>
    </row>
    <row r="25" spans="1:17">
      <c r="A25" s="353"/>
      <c r="B25" s="53"/>
      <c r="C25" s="28"/>
      <c r="D25" s="28"/>
      <c r="E25" s="353"/>
      <c r="F25" s="353"/>
      <c r="G25" s="353"/>
      <c r="H25" s="83"/>
      <c r="I25" s="4"/>
      <c r="J25" s="353"/>
      <c r="K25" s="353"/>
      <c r="L25" s="353"/>
      <c r="M25" s="353"/>
      <c r="N25" s="353"/>
      <c r="O25" s="353"/>
      <c r="P25" s="353"/>
      <c r="Q25" s="353"/>
    </row>
    <row r="26" spans="1:17">
      <c r="A26" s="353"/>
      <c r="B26" s="353"/>
      <c r="C26" s="353"/>
      <c r="D26" s="353"/>
      <c r="E26" s="353"/>
      <c r="F26" s="22"/>
      <c r="G26" s="353"/>
      <c r="H26" s="353"/>
      <c r="I26" s="353"/>
      <c r="J26" s="353"/>
      <c r="K26" s="353"/>
      <c r="L26" s="353"/>
      <c r="M26" s="353"/>
      <c r="N26" s="353"/>
      <c r="O26" s="353"/>
      <c r="P26" s="353"/>
      <c r="Q26" s="353"/>
    </row>
    <row r="27" spans="1:17" ht="25.5" customHeight="1">
      <c r="A27" s="341"/>
      <c r="B27" s="508" t="s">
        <v>50</v>
      </c>
      <c r="C27" s="441" t="s">
        <v>95</v>
      </c>
      <c r="D27" s="446" t="s">
        <v>96</v>
      </c>
      <c r="E27" s="103"/>
      <c r="F27" s="524"/>
      <c r="G27" s="524"/>
      <c r="H27" s="524"/>
      <c r="I27" s="524"/>
      <c r="J27" s="353"/>
      <c r="K27" s="526"/>
      <c r="L27" s="526"/>
      <c r="M27" s="526"/>
      <c r="N27" s="526"/>
      <c r="O27" s="526"/>
      <c r="P27" s="526"/>
      <c r="Q27" s="353"/>
    </row>
    <row r="28" spans="1:17" ht="25.5" customHeight="1">
      <c r="A28" s="353"/>
      <c r="B28" s="203" t="str">
        <f>IF('Język - Language'!$B$30="Polski","Mailing HTML 100 kB","Mailing HTML 100 kB")</f>
        <v>Mailing HTML 100 kB</v>
      </c>
      <c r="C28" s="324">
        <v>80</v>
      </c>
      <c r="D28" s="336">
        <v>88</v>
      </c>
      <c r="E28" s="495"/>
      <c r="F28" s="525"/>
      <c r="G28" s="525"/>
      <c r="H28" s="525"/>
      <c r="I28" s="525"/>
      <c r="J28" s="341"/>
      <c r="K28" s="428"/>
      <c r="L28" s="529"/>
      <c r="M28" s="529"/>
      <c r="N28" s="529"/>
      <c r="O28" s="529"/>
      <c r="P28" s="529"/>
      <c r="Q28" s="353"/>
    </row>
    <row r="29" spans="1:17" ht="25.5" customHeight="1">
      <c r="A29" s="353"/>
      <c r="B29" s="204" t="str">
        <f>IF('Język - Language'!$B$30="Polski","Mailing interaktywny²","Interactive Mailing²")</f>
        <v>Mailing interaktywny²</v>
      </c>
      <c r="C29" s="468">
        <v>160</v>
      </c>
      <c r="D29" s="337">
        <v>176</v>
      </c>
      <c r="E29" s="427"/>
      <c r="F29" s="64"/>
      <c r="G29" s="65"/>
      <c r="H29" s="66"/>
      <c r="I29" s="66"/>
      <c r="J29" s="341"/>
      <c r="K29" s="86"/>
      <c r="L29" s="531"/>
      <c r="M29" s="531"/>
      <c r="N29" s="531"/>
      <c r="O29" s="531"/>
      <c r="P29" s="531"/>
      <c r="Q29" s="353"/>
    </row>
    <row r="30" spans="1:17" ht="25.5" customHeight="1">
      <c r="A30" s="353"/>
      <c r="B30" s="839" t="str">
        <f>IF('Język - Language'!$B$30="Polski",CONCATENATE("¹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zamówieniu)."),CONCATENATE("¹ Mailing advertisements are delivered to users when they receive e-mail from their inbox during the effective period of the mailing service. Mailing advertisements may be aimed at a specific group of recipients by a targeting mechanism."," The waiting time for downloading the sent e-mails from the e-mail server as a standard is 28 days (in case of earlier termination of the mailing service, please include such information in the order)."))</f>
        <v>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v>
      </c>
      <c r="C30" s="839"/>
      <c r="D30" s="839"/>
      <c r="E30" s="839"/>
      <c r="F30" s="839"/>
      <c r="G30" s="839"/>
      <c r="H30" s="839"/>
      <c r="I30" s="839"/>
      <c r="J30" s="66"/>
      <c r="K30" s="341"/>
      <c r="L30" s="86"/>
      <c r="M30" s="531"/>
      <c r="N30" s="531"/>
      <c r="O30" s="531"/>
      <c r="P30" s="531"/>
      <c r="Q30" s="531"/>
    </row>
    <row r="31" spans="1:17" ht="12.75" customHeight="1">
      <c r="A31" s="353"/>
      <c r="B31" s="839" t="str">
        <f>IF('Język - Language'!$B$30="Polski","² Minimalna wartość zamówienia to 5 000 zł NN","² Minimal order - 5 000 zł NN")</f>
        <v>² Minimalna wartość zamówienia to 5 000 zł NN</v>
      </c>
      <c r="C31" s="839"/>
      <c r="D31" s="839"/>
      <c r="E31" s="839"/>
      <c r="F31" s="839"/>
      <c r="G31" s="839"/>
      <c r="H31" s="839"/>
      <c r="I31" s="839"/>
      <c r="J31" s="66"/>
      <c r="K31" s="341"/>
      <c r="L31" s="87"/>
      <c r="M31" s="534"/>
      <c r="N31" s="534"/>
      <c r="O31" s="534"/>
      <c r="P31" s="534"/>
      <c r="Q31" s="534"/>
    </row>
    <row r="32" spans="1:17" s="125" customFormat="1" ht="12.75" customHeight="1">
      <c r="A32" s="353"/>
      <c r="B32" s="431"/>
      <c r="C32" s="431"/>
      <c r="D32" s="431"/>
      <c r="E32" s="431"/>
      <c r="F32" s="431"/>
      <c r="G32" s="431"/>
      <c r="H32" s="431"/>
      <c r="I32" s="431"/>
      <c r="J32" s="66"/>
      <c r="K32" s="341"/>
      <c r="L32" s="87"/>
      <c r="M32" s="432"/>
      <c r="N32" s="432"/>
      <c r="O32" s="432"/>
      <c r="P32" s="432"/>
      <c r="Q32" s="432"/>
    </row>
    <row r="33" spans="1:17" s="125" customFormat="1" ht="12.75" customHeight="1">
      <c r="A33" s="341"/>
      <c r="B33" s="201"/>
      <c r="C33" s="201"/>
      <c r="D33" s="201"/>
      <c r="E33" s="201"/>
      <c r="F33" s="85"/>
      <c r="G33" s="44"/>
      <c r="H33" s="45"/>
      <c r="I33" s="46"/>
      <c r="J33" s="46"/>
      <c r="K33" s="341"/>
      <c r="L33" s="87"/>
      <c r="M33" s="432"/>
      <c r="N33" s="432"/>
      <c r="O33" s="432"/>
      <c r="P33" s="432"/>
      <c r="Q33" s="432"/>
    </row>
    <row r="34" spans="1:17" ht="25.5" customHeight="1">
      <c r="A34" s="341"/>
      <c r="B34" s="207"/>
      <c r="C34" s="622" t="str">
        <f>IF('Język - Language'!$B$30="Polski","LICZBA WSZYSTKICH REKORDÓW","NUMBER OF RECORDS")</f>
        <v>LICZBA WSZYSTKICH REKORDÓW</v>
      </c>
      <c r="D34" s="624"/>
      <c r="E34" s="207" t="str">
        <f>IF('Język - Language'!$B$30="Polski","LICZBA REKORDÓW TOP MANAGEMENT","NUMBER OF TOP MANAGEMENT RECORDS")</f>
        <v>LICZBA REKORDÓW TOP MANAGEMENT</v>
      </c>
      <c r="F34" s="207" t="str">
        <f>IF('Język - Language'!$B$30="Polski","CENY CPM BEZ TARGETOWANIA","CPM, NO TARGETS")</f>
        <v>CENY CPM BEZ TARGETOWANIA</v>
      </c>
      <c r="G34" s="837" t="str">
        <f>IF('Język - Language'!$B$30="Polski","PAKIET GRUPA MONEY.PL","MONEY GROUP PACKAGE")</f>
        <v>PAKIET GRUPA MONEY.PL</v>
      </c>
      <c r="H34" s="207" t="str">
        <f>IF('Język - Language'!$B$30="Polski","LICZBA REKORDÓW","NUMBER OF RECORDS")</f>
        <v>LICZBA REKORDÓW</v>
      </c>
      <c r="I34" s="207" t="str">
        <f>IF('Język - Language'!$B$30="Polski","BEZ TARGETOWANIA","NO TARGETS")</f>
        <v>BEZ TARGETOWANIA</v>
      </c>
      <c r="J34" s="42"/>
      <c r="K34" s="341"/>
      <c r="L34" s="86"/>
      <c r="M34" s="534"/>
      <c r="N34" s="534"/>
      <c r="O34" s="534"/>
      <c r="P34" s="534"/>
      <c r="Q34" s="534"/>
    </row>
    <row r="35" spans="1:17" ht="25.5" customHeight="1">
      <c r="A35" s="199"/>
      <c r="B35" s="220" t="str">
        <f>IF('Język - Language'!$B$30="Polski","Money.pl","Money.pl")</f>
        <v>Money.pl</v>
      </c>
      <c r="C35" s="842">
        <v>282000</v>
      </c>
      <c r="D35" s="843"/>
      <c r="E35" s="221">
        <v>49166</v>
      </c>
      <c r="F35" s="282">
        <v>400</v>
      </c>
      <c r="G35" s="838"/>
      <c r="H35" s="273" t="str">
        <f>IF('Język - Language'!$B$30="Polski","do 100 000","up to 100 000")</f>
        <v>do 100 000</v>
      </c>
      <c r="I35" s="274">
        <v>360</v>
      </c>
      <c r="J35" s="41"/>
      <c r="K35" s="353"/>
      <c r="L35" s="88"/>
      <c r="M35" s="534"/>
      <c r="N35" s="534"/>
      <c r="O35" s="534"/>
      <c r="P35" s="534"/>
      <c r="Q35" s="534"/>
    </row>
    <row r="36" spans="1:17" ht="25.5" customHeight="1">
      <c r="A36" s="199"/>
      <c r="B36" s="840" t="str">
        <f>IF('Język - Language'!$B$30="Polski","TG TOP MANAGEMENT*** max 100 000 kont","TG TOP MANAGEMENT*** max 100 000 email accounts")</f>
        <v>TG TOP MANAGEMENT*** max 100 000 kont</v>
      </c>
      <c r="C36" s="841"/>
      <c r="D36" s="841"/>
      <c r="E36" s="841"/>
      <c r="F36" s="841"/>
      <c r="G36" s="841"/>
      <c r="H36" s="841"/>
      <c r="I36" s="841"/>
      <c r="J36" s="43"/>
      <c r="K36" s="353"/>
      <c r="L36" s="428"/>
      <c r="M36" s="526"/>
      <c r="N36" s="526"/>
      <c r="O36" s="526"/>
      <c r="P36" s="526"/>
      <c r="Q36" s="526"/>
    </row>
    <row r="37" spans="1:17" ht="12.75" customHeight="1">
      <c r="A37" s="353"/>
      <c r="B37" s="63"/>
      <c r="C37" s="63"/>
      <c r="D37" s="63"/>
      <c r="E37" s="63"/>
      <c r="F37" s="63"/>
      <c r="G37" s="63"/>
      <c r="H37" s="63"/>
      <c r="I37" s="353"/>
      <c r="J37" s="353"/>
      <c r="K37" s="353"/>
      <c r="L37" s="341"/>
      <c r="M37" s="341"/>
      <c r="N37" s="341"/>
      <c r="O37" s="341"/>
      <c r="P37" s="341"/>
      <c r="Q37" s="341"/>
    </row>
  </sheetData>
  <mergeCells count="39">
    <mergeCell ref="M36:Q36"/>
    <mergeCell ref="G34:G35"/>
    <mergeCell ref="K27:P27"/>
    <mergeCell ref="M34:Q34"/>
    <mergeCell ref="M31:Q31"/>
    <mergeCell ref="M35:Q35"/>
    <mergeCell ref="B31:I31"/>
    <mergeCell ref="L29:P29"/>
    <mergeCell ref="M30:Q30"/>
    <mergeCell ref="B30:I30"/>
    <mergeCell ref="H27:H28"/>
    <mergeCell ref="I27:I28"/>
    <mergeCell ref="B36:I36"/>
    <mergeCell ref="C34:D34"/>
    <mergeCell ref="C35:D35"/>
    <mergeCell ref="C14:D14"/>
    <mergeCell ref="C16:D16"/>
    <mergeCell ref="L28:P28"/>
    <mergeCell ref="F27:F28"/>
    <mergeCell ref="G27:G28"/>
    <mergeCell ref="C17:D17"/>
    <mergeCell ref="C18:D18"/>
    <mergeCell ref="C23:D23"/>
    <mergeCell ref="C1:G3"/>
    <mergeCell ref="B16:B22"/>
    <mergeCell ref="E7:F7"/>
    <mergeCell ref="B7:B8"/>
    <mergeCell ref="C7:C8"/>
    <mergeCell ref="C9:D9"/>
    <mergeCell ref="C10:D10"/>
    <mergeCell ref="C11:D11"/>
    <mergeCell ref="C21:D21"/>
    <mergeCell ref="C19:D19"/>
    <mergeCell ref="C20:D20"/>
    <mergeCell ref="C22:D22"/>
    <mergeCell ref="C12:D12"/>
    <mergeCell ref="B9:B15"/>
    <mergeCell ref="C15:D15"/>
    <mergeCell ref="C13:D13"/>
  </mergeCells>
  <pageMargins left="0.7" right="0.7" top="0.75" bottom="0.75" header="0.3" footer="0.3"/>
  <pageSetup paperSize="256" scale="6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pageSetUpPr fitToPage="1"/>
  </sheetPr>
  <dimension ref="A1:AG107"/>
  <sheetViews>
    <sheetView zoomScaleNormal="100" workbookViewId="0">
      <pane ySplit="4" topLeftCell="A5" activePane="bottomLeft" state="frozen"/>
      <selection pane="bottomLeft"/>
    </sheetView>
  </sheetViews>
  <sheetFormatPr defaultColWidth="11.42578125" defaultRowHeight="12.75"/>
  <cols>
    <col min="1" max="1" width="2.85546875" style="283" customWidth="1"/>
    <col min="2" max="2" width="2.85546875" style="2" customWidth="1"/>
    <col min="3" max="3" width="22" style="2" customWidth="1"/>
    <col min="4" max="4" width="7.85546875" style="102" customWidth="1"/>
    <col min="5" max="5" width="12.140625" style="2" customWidth="1"/>
    <col min="6" max="6" width="20" style="102" customWidth="1"/>
    <col min="7" max="7" width="10.28515625" style="2" customWidth="1"/>
    <col min="8" max="8" width="10.28515625" style="102" customWidth="1"/>
    <col min="9" max="9" width="10.28515625" style="2" customWidth="1"/>
    <col min="10" max="10" width="10.28515625" style="102" customWidth="1"/>
    <col min="11" max="11" width="10.28515625" style="2" customWidth="1"/>
    <col min="12" max="12" width="10.28515625" style="102" customWidth="1"/>
    <col min="13" max="13" width="10.28515625" style="2" customWidth="1"/>
    <col min="14" max="14" width="10.28515625" style="102" customWidth="1"/>
    <col min="15" max="16" width="10.28515625" style="2" customWidth="1"/>
    <col min="17" max="23" width="10.85546875" style="2" customWidth="1"/>
    <col min="24" max="24" width="10" style="2" customWidth="1"/>
    <col min="25" max="25" width="9.140625" style="2" customWidth="1"/>
    <col min="26" max="27" width="9" style="2" customWidth="1"/>
    <col min="28" max="28" width="9.140625" style="2" customWidth="1"/>
    <col min="29" max="29" width="8.5703125" style="2" customWidth="1"/>
    <col min="30" max="30" width="10.5703125" style="2" customWidth="1"/>
    <col min="31" max="33" width="7.85546875" style="2" customWidth="1"/>
    <col min="34" max="16384" width="11.42578125" style="2"/>
  </cols>
  <sheetData>
    <row r="1" spans="1:33" ht="12.75" customHeight="1">
      <c r="A1" s="353"/>
      <c r="B1" s="353"/>
      <c r="C1" s="353"/>
      <c r="D1" s="353"/>
      <c r="E1" s="353"/>
      <c r="F1" s="353"/>
      <c r="G1" s="18"/>
      <c r="I1" s="355"/>
      <c r="J1" s="523"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October 10, 2018",CHAR(10),"For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K1" s="523"/>
      <c r="L1" s="523"/>
      <c r="M1" s="523"/>
      <c r="N1" s="523"/>
      <c r="O1" s="523"/>
      <c r="P1" s="523"/>
      <c r="Q1" s="355"/>
      <c r="R1" s="355"/>
      <c r="S1" s="353"/>
      <c r="T1" s="355"/>
      <c r="U1" s="355"/>
      <c r="V1" s="355"/>
      <c r="W1" s="355"/>
      <c r="X1" s="355"/>
      <c r="Y1" s="355"/>
      <c r="Z1" s="355"/>
      <c r="AA1" s="355"/>
      <c r="AB1" s="355"/>
      <c r="AC1" s="355"/>
      <c r="AD1" s="355"/>
      <c r="AE1" s="353"/>
      <c r="AF1" s="353"/>
      <c r="AG1" s="353"/>
    </row>
    <row r="2" spans="1:33" ht="12.75" customHeight="1">
      <c r="A2" s="353"/>
      <c r="B2" s="353"/>
      <c r="C2" s="353"/>
      <c r="D2" s="353"/>
      <c r="E2" s="353"/>
      <c r="F2" s="353"/>
      <c r="G2" s="18"/>
      <c r="H2" s="355"/>
      <c r="I2" s="355"/>
      <c r="J2" s="523"/>
      <c r="K2" s="523"/>
      <c r="L2" s="523"/>
      <c r="M2" s="523"/>
      <c r="N2" s="523"/>
      <c r="O2" s="523"/>
      <c r="P2" s="523"/>
      <c r="Q2" s="355"/>
      <c r="R2" s="355"/>
      <c r="S2" s="355"/>
      <c r="T2" s="355"/>
      <c r="U2" s="355"/>
      <c r="V2" s="355"/>
      <c r="W2" s="355"/>
      <c r="X2" s="355"/>
      <c r="Y2" s="355"/>
      <c r="Z2" s="355"/>
      <c r="AA2" s="355"/>
      <c r="AB2" s="355"/>
      <c r="AC2" s="355"/>
      <c r="AD2" s="355"/>
      <c r="AE2" s="353"/>
      <c r="AF2" s="353"/>
      <c r="AG2" s="353"/>
    </row>
    <row r="3" spans="1:33" ht="12.75" customHeight="1">
      <c r="A3" s="353"/>
      <c r="B3" s="353"/>
      <c r="C3" s="353"/>
      <c r="D3" s="353"/>
      <c r="E3" s="353"/>
      <c r="F3" s="353"/>
      <c r="G3" s="18"/>
      <c r="H3" s="355"/>
      <c r="I3" s="355"/>
      <c r="J3" s="523"/>
      <c r="K3" s="523"/>
      <c r="L3" s="523"/>
      <c r="M3" s="523"/>
      <c r="N3" s="523"/>
      <c r="O3" s="523"/>
      <c r="P3" s="523"/>
      <c r="Q3" s="355"/>
      <c r="R3" s="355"/>
      <c r="S3" s="355"/>
      <c r="T3" s="355"/>
      <c r="U3" s="355"/>
      <c r="V3" s="355"/>
      <c r="W3" s="355"/>
      <c r="X3" s="355"/>
      <c r="Y3" s="355"/>
      <c r="Z3" s="355"/>
      <c r="AA3" s="355"/>
      <c r="AB3" s="355"/>
      <c r="AC3" s="355"/>
      <c r="AD3" s="355"/>
      <c r="AE3" s="353"/>
      <c r="AF3" s="353"/>
      <c r="AG3" s="353"/>
    </row>
    <row r="4" spans="1:33" s="35" customFormat="1" ht="12.75" customHeight="1">
      <c r="A4" s="356"/>
      <c r="B4" s="356"/>
      <c r="C4" s="36" t="str">
        <f>IF('Język - Language'!$B$30="Polski","            Pakiety tematyczne, zasięgowe oraz reklama na serwisie","             Packages")</f>
        <v xml:space="preserve">            Pakiety tematyczne, zasięgowe oraz reklama na serwisie</v>
      </c>
      <c r="D4" s="36"/>
      <c r="E4" s="356"/>
      <c r="F4" s="356"/>
      <c r="G4" s="356"/>
      <c r="H4" s="356"/>
      <c r="I4" s="356"/>
      <c r="J4" s="356"/>
      <c r="K4" s="356"/>
      <c r="L4" s="356"/>
      <c r="M4" s="356"/>
      <c r="N4" s="356"/>
      <c r="O4" s="356"/>
      <c r="P4" s="340" t="str">
        <f>IF('Język - Language'!$B$30="Polski","PL","EN")</f>
        <v>PL</v>
      </c>
      <c r="Q4" s="356"/>
      <c r="R4" s="356"/>
      <c r="S4" s="356"/>
      <c r="T4" s="356"/>
      <c r="U4" s="356"/>
      <c r="V4" s="356"/>
      <c r="W4" s="356"/>
      <c r="X4" s="356"/>
      <c r="Y4" s="356"/>
      <c r="Z4" s="356"/>
      <c r="AA4" s="356"/>
      <c r="AB4" s="356"/>
      <c r="AC4" s="356"/>
      <c r="AD4" s="356"/>
      <c r="AE4" s="356"/>
      <c r="AF4" s="356"/>
      <c r="AG4" s="356"/>
    </row>
    <row r="5" spans="1:33" ht="12.75" customHeight="1">
      <c r="A5" s="353"/>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row>
    <row r="6" spans="1:33" ht="12.75" customHeight="1" thickBot="1">
      <c r="A6" s="353"/>
      <c r="B6"/>
      <c r="C6" s="328"/>
      <c r="D6" s="328"/>
      <c r="E6" s="328"/>
      <c r="F6" s="328"/>
      <c r="G6" s="328"/>
      <c r="H6" s="328"/>
      <c r="I6" s="328"/>
      <c r="J6" s="328"/>
      <c r="K6" s="328"/>
      <c r="L6" s="328"/>
      <c r="M6" s="328"/>
      <c r="N6" s="328"/>
      <c r="O6" s="341"/>
      <c r="P6" s="341"/>
      <c r="Q6" s="341"/>
      <c r="R6" s="341"/>
      <c r="S6" s="341"/>
      <c r="T6" s="341"/>
      <c r="U6" s="341"/>
      <c r="V6" s="341"/>
      <c r="W6" s="341"/>
      <c r="X6" s="341"/>
      <c r="Y6" s="341"/>
      <c r="Z6" s="341"/>
      <c r="AA6" s="341"/>
      <c r="AB6" s="341"/>
      <c r="AC6" s="341"/>
      <c r="AD6" s="341"/>
      <c r="AE6" s="341"/>
      <c r="AF6" s="341"/>
      <c r="AG6" s="341"/>
    </row>
    <row r="7" spans="1:33" s="283" customFormat="1" ht="12.75" customHeight="1" thickTop="1">
      <c r="A7" s="353"/>
      <c r="B7" s="327"/>
      <c r="C7" s="648" t="str">
        <f>IF('Język - Language'!$B$30="Polski","KATEGORIE","CATEGORIES")</f>
        <v>KATEGORIE</v>
      </c>
      <c r="D7" s="648" t="str">
        <f>IF('Język - Language'!$B$30="Polski","MIEJSCE EMISJI","PLACE OF EMISSION")</f>
        <v>MIEJSCE EMISJI</v>
      </c>
      <c r="E7" s="648"/>
      <c r="F7" s="918" t="s">
        <v>97</v>
      </c>
      <c r="G7" s="772"/>
      <c r="H7" s="772"/>
      <c r="I7" s="772"/>
      <c r="J7" s="772"/>
      <c r="K7" s="332"/>
      <c r="L7" s="332"/>
      <c r="M7" s="332"/>
      <c r="N7" s="333"/>
      <c r="O7" s="341"/>
      <c r="P7" s="341"/>
      <c r="Q7" s="341"/>
      <c r="R7" s="353"/>
      <c r="S7" s="353"/>
      <c r="T7" s="353"/>
      <c r="U7" s="353"/>
      <c r="V7" s="353"/>
      <c r="W7" s="353"/>
      <c r="X7" s="353"/>
      <c r="Y7" s="353"/>
      <c r="Z7" s="353"/>
      <c r="AA7" s="353"/>
      <c r="AB7" s="353"/>
      <c r="AC7" s="353"/>
      <c r="AD7" s="353"/>
      <c r="AE7" s="353"/>
      <c r="AF7" s="353"/>
      <c r="AG7" s="353"/>
    </row>
    <row r="8" spans="1:33" s="283" customFormat="1" ht="12.75" customHeight="1">
      <c r="A8" s="341"/>
      <c r="B8" s="327"/>
      <c r="C8" s="648"/>
      <c r="D8" s="648"/>
      <c r="E8" s="648"/>
      <c r="F8" s="919"/>
      <c r="G8" s="892" t="str">
        <f>IF('Język - Language'!$B$30="Polski","HALFPAGE","HALFPAGE")</f>
        <v>HALFPAGE</v>
      </c>
      <c r="H8" s="772"/>
      <c r="I8" s="772"/>
      <c r="J8" s="772"/>
      <c r="K8" s="772" t="str">
        <f>IF('Język - Language'!$B$30="Polski","CONTENT BOX 970x200","CONTENT BOX 970x200")</f>
        <v>CONTENT BOX 970x200</v>
      </c>
      <c r="L8" s="772"/>
      <c r="M8" s="772"/>
      <c r="N8" s="886"/>
      <c r="O8" s="341"/>
      <c r="P8" s="341"/>
      <c r="Q8" s="341"/>
      <c r="R8" s="353"/>
      <c r="S8" s="353"/>
      <c r="T8" s="353"/>
      <c r="U8" s="353"/>
      <c r="V8" s="353"/>
      <c r="W8" s="353"/>
      <c r="X8" s="353"/>
      <c r="Y8" s="353"/>
      <c r="Z8" s="353"/>
      <c r="AA8" s="353"/>
      <c r="AB8" s="353"/>
      <c r="AC8" s="353"/>
      <c r="AD8" s="353"/>
      <c r="AE8" s="353"/>
      <c r="AF8" s="353"/>
      <c r="AG8" s="353"/>
    </row>
    <row r="9" spans="1:33" s="283" customFormat="1" ht="25.5" customHeight="1">
      <c r="A9" s="353"/>
      <c r="B9" s="327"/>
      <c r="C9" s="648"/>
      <c r="D9" s="648"/>
      <c r="E9" s="648"/>
      <c r="F9" s="919"/>
      <c r="G9" s="892" t="str">
        <f>IF('Język - Language'!$B$30="Polski","rozliczenie za widzialne odsłony wg standardu IAB¹","settlement for visible ad views according to the IAB standard*")</f>
        <v>rozliczenie za widzialne odsłony wg standardu IAB¹</v>
      </c>
      <c r="H9" s="772"/>
      <c r="I9" s="772"/>
      <c r="J9" s="772"/>
      <c r="K9" s="772"/>
      <c r="L9" s="772"/>
      <c r="M9" s="772"/>
      <c r="N9" s="886"/>
      <c r="O9" s="341"/>
      <c r="P9" s="341"/>
      <c r="Q9" s="353"/>
      <c r="R9" s="353"/>
      <c r="S9" s="353"/>
      <c r="T9" s="353"/>
      <c r="U9" s="353"/>
      <c r="V9" s="353"/>
      <c r="W9" s="353"/>
      <c r="X9" s="353"/>
      <c r="Y9" s="353"/>
      <c r="Z9" s="353"/>
      <c r="AA9" s="353"/>
      <c r="AB9" s="353"/>
      <c r="AC9" s="353"/>
      <c r="AD9" s="353"/>
      <c r="AE9" s="353"/>
      <c r="AF9" s="353"/>
      <c r="AG9" s="353"/>
    </row>
    <row r="10" spans="1:33" s="283" customFormat="1" ht="12.75" customHeight="1">
      <c r="A10" s="353"/>
      <c r="B10" s="327"/>
      <c r="C10" s="903"/>
      <c r="D10" s="903"/>
      <c r="E10" s="903"/>
      <c r="F10" s="920"/>
      <c r="G10" s="892" t="str">
        <f>IF('Język - Language'!$B$30="Polski","STAT. WEW.","INT. STAT.")</f>
        <v>STAT. WEW.</v>
      </c>
      <c r="H10" s="772"/>
      <c r="I10" s="911" t="str">
        <f>IF('Język - Language'!$B$30="Polski","STAT. ZEW.","EXT. STAT.")</f>
        <v>STAT. ZEW.</v>
      </c>
      <c r="J10" s="911"/>
      <c r="K10" s="772" t="str">
        <f>IF('Język - Language'!$B$30="Polski","STAT. WEW.","INT. STAT.")</f>
        <v>STAT. WEW.</v>
      </c>
      <c r="L10" s="772"/>
      <c r="M10" s="911" t="str">
        <f>IF('Język - Language'!$B$30="Polski","STAT. ZEW.","EXT. STAT.")</f>
        <v>STAT. ZEW.</v>
      </c>
      <c r="N10" s="912"/>
      <c r="O10" s="341"/>
      <c r="P10" s="341"/>
      <c r="Q10" s="341"/>
      <c r="R10" s="353"/>
      <c r="S10" s="353"/>
      <c r="T10" s="353"/>
      <c r="U10" s="353"/>
      <c r="V10" s="353"/>
      <c r="W10" s="353"/>
      <c r="X10" s="353"/>
      <c r="Y10" s="353"/>
      <c r="Z10" s="353"/>
      <c r="AA10" s="353"/>
      <c r="AB10" s="353"/>
      <c r="AC10" s="353"/>
      <c r="AD10" s="353"/>
      <c r="AE10" s="353"/>
      <c r="AF10" s="353"/>
      <c r="AG10" s="353"/>
    </row>
    <row r="11" spans="1:33" s="283" customFormat="1" ht="12.75" customHeight="1">
      <c r="A11" s="353"/>
      <c r="B11" s="928" t="s">
        <v>98</v>
      </c>
      <c r="C11" s="909" t="s">
        <v>53</v>
      </c>
      <c r="D11" s="883" t="s">
        <v>99</v>
      </c>
      <c r="E11" s="883"/>
      <c r="F11" s="330">
        <v>2000000</v>
      </c>
      <c r="G11" s="906">
        <v>160000</v>
      </c>
      <c r="H11" s="907"/>
      <c r="I11" s="913">
        <v>184000</v>
      </c>
      <c r="J11" s="914"/>
      <c r="K11" s="906" t="s">
        <v>94</v>
      </c>
      <c r="L11" s="907"/>
      <c r="M11" s="913" t="s">
        <v>94</v>
      </c>
      <c r="N11" s="921"/>
      <c r="O11" s="341"/>
      <c r="P11" s="341"/>
      <c r="Q11" s="341"/>
      <c r="R11" s="353"/>
      <c r="S11" s="353"/>
      <c r="T11" s="353"/>
      <c r="U11" s="353"/>
      <c r="V11" s="353"/>
      <c r="W11" s="353"/>
      <c r="X11" s="353"/>
      <c r="Y11" s="353"/>
      <c r="Z11" s="353"/>
      <c r="AA11" s="353"/>
      <c r="AB11" s="353"/>
      <c r="AC11" s="353"/>
      <c r="AD11" s="353"/>
      <c r="AE11" s="353"/>
      <c r="AF11" s="353"/>
      <c r="AG11" s="353"/>
    </row>
    <row r="12" spans="1:33" s="283" customFormat="1" ht="12.75" customHeight="1">
      <c r="A12" s="353"/>
      <c r="B12" s="928"/>
      <c r="C12" s="648"/>
      <c r="D12" s="883" t="s">
        <v>100</v>
      </c>
      <c r="E12" s="883"/>
      <c r="F12" s="330">
        <v>1400000</v>
      </c>
      <c r="G12" s="906">
        <v>112000</v>
      </c>
      <c r="H12" s="907"/>
      <c r="I12" s="913">
        <v>129000</v>
      </c>
      <c r="J12" s="914"/>
      <c r="K12" s="906"/>
      <c r="L12" s="907"/>
      <c r="M12" s="913"/>
      <c r="N12" s="921"/>
      <c r="O12" s="341"/>
      <c r="P12" s="341"/>
      <c r="Q12" s="341"/>
      <c r="R12" s="353"/>
      <c r="S12" s="353"/>
      <c r="T12" s="353"/>
      <c r="U12" s="353"/>
      <c r="V12" s="353"/>
      <c r="W12" s="353"/>
      <c r="X12" s="353"/>
      <c r="Y12" s="353"/>
      <c r="Z12" s="353"/>
      <c r="AA12" s="353"/>
      <c r="AB12" s="353"/>
      <c r="AC12" s="353"/>
      <c r="AD12" s="353"/>
      <c r="AE12" s="353"/>
      <c r="AF12" s="353"/>
      <c r="AG12" s="353"/>
    </row>
    <row r="13" spans="1:33" s="283" customFormat="1" ht="12.75" customHeight="1">
      <c r="A13" s="353"/>
      <c r="B13" s="928"/>
      <c r="C13" s="648"/>
      <c r="D13" s="883" t="s">
        <v>101</v>
      </c>
      <c r="E13" s="883"/>
      <c r="F13" s="330">
        <v>1200000</v>
      </c>
      <c r="G13" s="906">
        <v>96000</v>
      </c>
      <c r="H13" s="907"/>
      <c r="I13" s="913">
        <v>110000</v>
      </c>
      <c r="J13" s="914"/>
      <c r="K13" s="906"/>
      <c r="L13" s="907"/>
      <c r="M13" s="913"/>
      <c r="N13" s="921"/>
      <c r="O13" s="341"/>
      <c r="P13" s="341"/>
      <c r="Q13" s="341"/>
      <c r="R13" s="353"/>
      <c r="S13" s="353"/>
      <c r="T13" s="353"/>
      <c r="U13" s="353"/>
      <c r="V13" s="353"/>
      <c r="W13" s="353"/>
      <c r="X13" s="353"/>
      <c r="Y13" s="353"/>
      <c r="Z13" s="353"/>
      <c r="AA13" s="353"/>
      <c r="AB13" s="353"/>
      <c r="AC13" s="353"/>
      <c r="AD13" s="353"/>
      <c r="AE13" s="353"/>
      <c r="AF13" s="353"/>
      <c r="AG13" s="353"/>
    </row>
    <row r="14" spans="1:33" s="283" customFormat="1" ht="12.75" customHeight="1">
      <c r="A14" s="353"/>
      <c r="B14" s="928"/>
      <c r="C14" s="648"/>
      <c r="D14" s="883" t="s">
        <v>102</v>
      </c>
      <c r="E14" s="883"/>
      <c r="F14" s="330">
        <v>1000000</v>
      </c>
      <c r="G14" s="906">
        <v>80000</v>
      </c>
      <c r="H14" s="907"/>
      <c r="I14" s="913">
        <v>92000</v>
      </c>
      <c r="J14" s="914"/>
      <c r="K14" s="906"/>
      <c r="L14" s="907"/>
      <c r="M14" s="913"/>
      <c r="N14" s="921"/>
      <c r="O14" s="341"/>
      <c r="P14" s="341"/>
      <c r="Q14" s="341"/>
      <c r="R14" s="353"/>
      <c r="S14" s="353"/>
      <c r="T14" s="353"/>
      <c r="U14" s="353"/>
      <c r="V14" s="353"/>
      <c r="W14" s="353"/>
      <c r="X14" s="353"/>
      <c r="Y14" s="353"/>
      <c r="Z14" s="353"/>
      <c r="AA14" s="353"/>
      <c r="AB14" s="353"/>
      <c r="AC14" s="353"/>
      <c r="AD14" s="353"/>
      <c r="AE14" s="353"/>
      <c r="AF14" s="353"/>
      <c r="AG14" s="353"/>
    </row>
    <row r="15" spans="1:33" s="283" customFormat="1" ht="12.75" customHeight="1">
      <c r="A15" s="353"/>
      <c r="B15" s="928"/>
      <c r="C15" s="648"/>
      <c r="D15" s="883" t="s">
        <v>103</v>
      </c>
      <c r="E15" s="883"/>
      <c r="F15" s="330">
        <v>900000</v>
      </c>
      <c r="G15" s="906">
        <v>72000</v>
      </c>
      <c r="H15" s="907"/>
      <c r="I15" s="913">
        <v>83000</v>
      </c>
      <c r="J15" s="914"/>
      <c r="K15" s="906"/>
      <c r="L15" s="907"/>
      <c r="M15" s="913"/>
      <c r="N15" s="921"/>
      <c r="O15" s="341"/>
      <c r="P15" s="341"/>
      <c r="Q15" s="341"/>
      <c r="R15" s="353"/>
      <c r="S15" s="353"/>
      <c r="T15" s="353"/>
      <c r="U15" s="353"/>
      <c r="V15" s="353"/>
      <c r="W15" s="353"/>
      <c r="X15" s="353"/>
      <c r="Y15" s="353"/>
      <c r="Z15" s="353"/>
      <c r="AA15" s="353"/>
      <c r="AB15" s="353"/>
      <c r="AC15" s="353"/>
      <c r="AD15" s="353"/>
      <c r="AE15" s="353"/>
      <c r="AF15" s="353"/>
      <c r="AG15" s="353"/>
    </row>
    <row r="16" spans="1:33" s="283" customFormat="1" ht="12.75" customHeight="1">
      <c r="A16" s="353"/>
      <c r="B16" s="928"/>
      <c r="C16" s="648"/>
      <c r="D16" s="883" t="s">
        <v>104</v>
      </c>
      <c r="E16" s="883"/>
      <c r="F16" s="330">
        <v>700000</v>
      </c>
      <c r="G16" s="906">
        <v>56000</v>
      </c>
      <c r="H16" s="907"/>
      <c r="I16" s="913">
        <v>64000</v>
      </c>
      <c r="J16" s="914"/>
      <c r="K16" s="906"/>
      <c r="L16" s="907"/>
      <c r="M16" s="913"/>
      <c r="N16" s="921"/>
      <c r="O16" s="341"/>
      <c r="P16" s="341"/>
      <c r="Q16" s="341"/>
      <c r="R16" s="353"/>
      <c r="S16" s="353"/>
      <c r="T16" s="353"/>
      <c r="U16" s="353"/>
      <c r="V16" s="353"/>
      <c r="W16" s="353"/>
      <c r="X16" s="353"/>
      <c r="Y16" s="353"/>
      <c r="Z16" s="353"/>
      <c r="AA16" s="353"/>
      <c r="AB16" s="353"/>
      <c r="AC16" s="353"/>
      <c r="AD16" s="353"/>
      <c r="AE16" s="353"/>
      <c r="AF16" s="353"/>
      <c r="AG16" s="353"/>
    </row>
    <row r="17" spans="1:33" s="283" customFormat="1" ht="12.75" customHeight="1">
      <c r="A17" s="353"/>
      <c r="B17" s="928"/>
      <c r="C17" s="648"/>
      <c r="D17" s="883" t="s">
        <v>105</v>
      </c>
      <c r="E17" s="883"/>
      <c r="F17" s="330">
        <v>600000</v>
      </c>
      <c r="G17" s="906">
        <v>48000</v>
      </c>
      <c r="H17" s="907"/>
      <c r="I17" s="913">
        <v>55000</v>
      </c>
      <c r="J17" s="914"/>
      <c r="K17" s="906"/>
      <c r="L17" s="907"/>
      <c r="M17" s="913"/>
      <c r="N17" s="921"/>
      <c r="O17" s="341"/>
      <c r="P17" s="341"/>
      <c r="Q17" s="341"/>
      <c r="R17" s="353"/>
      <c r="S17" s="353"/>
      <c r="T17" s="353"/>
      <c r="U17" s="353"/>
      <c r="V17" s="353"/>
      <c r="W17" s="353"/>
      <c r="X17" s="353"/>
      <c r="Y17" s="353"/>
      <c r="Z17" s="353"/>
      <c r="AA17" s="353"/>
      <c r="AB17" s="353"/>
      <c r="AC17" s="353"/>
      <c r="AD17" s="353"/>
      <c r="AE17" s="353"/>
      <c r="AF17" s="353"/>
      <c r="AG17" s="353"/>
    </row>
    <row r="18" spans="1:33" s="283" customFormat="1" ht="12.75" customHeight="1">
      <c r="A18" s="353"/>
      <c r="B18" s="928"/>
      <c r="C18" s="648"/>
      <c r="D18" s="557" t="s">
        <v>106</v>
      </c>
      <c r="E18" s="557"/>
      <c r="F18" s="334">
        <v>500000</v>
      </c>
      <c r="G18" s="804">
        <v>40000</v>
      </c>
      <c r="H18" s="930"/>
      <c r="I18" s="922">
        <v>46000</v>
      </c>
      <c r="J18" s="931"/>
      <c r="K18" s="804"/>
      <c r="L18" s="930"/>
      <c r="M18" s="922"/>
      <c r="N18" s="923"/>
      <c r="O18" s="341"/>
      <c r="P18" s="341"/>
      <c r="Q18" s="341"/>
      <c r="R18" s="353"/>
      <c r="S18" s="353"/>
      <c r="T18" s="353"/>
      <c r="U18" s="353"/>
      <c r="V18" s="353"/>
      <c r="W18" s="353"/>
      <c r="X18" s="353"/>
      <c r="Y18" s="353"/>
      <c r="Z18" s="353"/>
      <c r="AA18" s="353"/>
      <c r="AB18" s="353"/>
      <c r="AC18" s="353"/>
      <c r="AD18" s="353"/>
      <c r="AE18" s="353"/>
      <c r="AF18" s="353"/>
      <c r="AG18" s="353"/>
    </row>
    <row r="19" spans="1:33" s="283" customFormat="1" ht="12.75" customHeight="1" thickBot="1">
      <c r="A19" s="353"/>
      <c r="B19" s="928"/>
      <c r="C19" s="910"/>
      <c r="D19" s="929" t="s">
        <v>107</v>
      </c>
      <c r="E19" s="929"/>
      <c r="F19" s="331">
        <v>1000000</v>
      </c>
      <c r="G19" s="933">
        <v>65000</v>
      </c>
      <c r="H19" s="934"/>
      <c r="I19" s="884">
        <v>75000</v>
      </c>
      <c r="J19" s="932"/>
      <c r="K19" s="933">
        <v>80000</v>
      </c>
      <c r="L19" s="934"/>
      <c r="M19" s="884">
        <v>92000</v>
      </c>
      <c r="N19" s="885"/>
      <c r="O19" s="341"/>
      <c r="P19" s="341"/>
      <c r="Q19" s="341"/>
      <c r="R19" s="353"/>
      <c r="S19" s="353"/>
      <c r="T19" s="353"/>
      <c r="U19" s="353"/>
      <c r="V19" s="353"/>
      <c r="W19" s="353"/>
      <c r="X19" s="353"/>
      <c r="Y19" s="353"/>
      <c r="Z19" s="353"/>
      <c r="AA19" s="353"/>
      <c r="AB19" s="353"/>
      <c r="AC19" s="353"/>
      <c r="AD19" s="353"/>
      <c r="AE19" s="353"/>
      <c r="AF19" s="353"/>
      <c r="AG19" s="353"/>
    </row>
    <row r="20" spans="1:33" s="283" customFormat="1" ht="12.75" customHeight="1" thickTop="1">
      <c r="A20" s="353"/>
      <c r="B20"/>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row>
    <row r="21" spans="1:33" ht="12.75" customHeight="1">
      <c r="A21" s="353"/>
      <c r="B21" s="341"/>
      <c r="C21" s="908" t="str">
        <f>IF('Język - Language'!$B$30="Polski","KATEGORIE","CATEGORIES")</f>
        <v>KATEGORIE</v>
      </c>
      <c r="D21" s="908" t="str">
        <f>IF('Język - Language'!$B$30="Polski","MIEJSCE EMISJI","PLACE OF EMISSION")</f>
        <v>MIEJSCE EMISJI</v>
      </c>
      <c r="E21" s="908"/>
      <c r="F21" s="926"/>
      <c r="G21" s="925" t="str">
        <f>IF('Język - Language'!$B$30="Polski","RECTANGLE,","RECTANGLE,")</f>
        <v>RECTANGLE,</v>
      </c>
      <c r="H21" s="874"/>
      <c r="I21" s="874" t="str">
        <f>IF('Język - Language'!$B$30="Polski","DOUBLE BILLBOARD,","DOUBLE BILLBOARD,")</f>
        <v>DOUBLE BILLBOARD,</v>
      </c>
      <c r="J21" s="874"/>
      <c r="K21" s="874" t="str">
        <f>IF('Język - Language'!$B$30="Polski","TRIPLE BILLBOARD,","TRIPLE BILLBOARD,")</f>
        <v>TRIPLE BILLBOARD,</v>
      </c>
      <c r="L21" s="916"/>
      <c r="M21" s="915" t="str">
        <f>IF('Język - Language'!$B$30="Polski","SCREENING 200³","SCREENING 200³")</f>
        <v>SCREENING 200³</v>
      </c>
      <c r="N21" s="916"/>
      <c r="O21" s="899" t="s">
        <v>108</v>
      </c>
      <c r="P21" s="900"/>
      <c r="Q21" s="353"/>
      <c r="R21" s="353"/>
      <c r="S21" s="100"/>
      <c r="T21" s="100"/>
      <c r="U21" s="341"/>
      <c r="V21" s="341"/>
      <c r="W21" s="341"/>
      <c r="X21" s="353"/>
      <c r="Y21" s="353"/>
      <c r="Z21" s="353"/>
      <c r="AA21" s="353"/>
      <c r="AB21" s="353"/>
      <c r="AC21" s="353"/>
      <c r="AD21" s="353"/>
      <c r="AE21" s="353"/>
      <c r="AF21" s="353"/>
      <c r="AG21" s="353"/>
    </row>
    <row r="22" spans="1:33" s="155" customFormat="1" ht="12.75" customHeight="1">
      <c r="A22" s="353"/>
      <c r="B22" s="341"/>
      <c r="C22" s="648"/>
      <c r="D22" s="648"/>
      <c r="E22" s="648"/>
      <c r="F22" s="927"/>
      <c r="G22" s="892"/>
      <c r="H22" s="772"/>
      <c r="I22" s="772" t="str">
        <f>IF('Język - Language'!$B$30="Polski","FLOATING HALFPAGE","FLOATING HALFPATE")</f>
        <v>FLOATING HALFPAGE</v>
      </c>
      <c r="J22" s="772"/>
      <c r="K22" s="772"/>
      <c r="L22" s="779"/>
      <c r="M22" s="917"/>
      <c r="N22" s="779"/>
      <c r="O22" s="899"/>
      <c r="P22" s="900"/>
      <c r="Q22" s="353"/>
      <c r="R22" s="353"/>
      <c r="S22" s="100"/>
      <c r="T22" s="100"/>
      <c r="U22" s="341"/>
      <c r="V22" s="341"/>
      <c r="W22" s="341"/>
      <c r="X22" s="353"/>
      <c r="Y22" s="353"/>
      <c r="Z22" s="353"/>
      <c r="AA22" s="353"/>
      <c r="AB22" s="353"/>
      <c r="AC22" s="353"/>
      <c r="AD22" s="353"/>
      <c r="AE22" s="353"/>
      <c r="AF22" s="353"/>
      <c r="AG22" s="353"/>
    </row>
    <row r="23" spans="1:33" s="155" customFormat="1" ht="12.75" customHeight="1">
      <c r="A23" s="353"/>
      <c r="B23" s="341"/>
      <c r="C23" s="648"/>
      <c r="D23" s="648"/>
      <c r="E23" s="648"/>
      <c r="F23" s="927"/>
      <c r="G23" s="924" t="str">
        <f>IF('Język - Language'!$B$30="Polski","MOBILE RECTANGLE","MOBILE RECTANGLE")</f>
        <v>MOBILE RECTANGLE</v>
      </c>
      <c r="H23" s="911"/>
      <c r="I23" s="772" t="str">
        <f>IF('Język - Language'!$B$30="Polski","HALFPAGE,","HALFPAGE,")</f>
        <v>HALFPAGE,</v>
      </c>
      <c r="J23" s="772"/>
      <c r="K23" s="772" t="str">
        <f>IF('Język - Language'!$B$30="Polski","WIDEBOARD","WIDEBOARD")</f>
        <v>WIDEBOARD</v>
      </c>
      <c r="L23" s="779"/>
      <c r="M23" s="904" t="str">
        <f>IF('Język - Language'!$B$30="Polski","MOBILE SCREENING³","MOBILE SCREENING³")</f>
        <v>MOBILE SCREENING³</v>
      </c>
      <c r="N23" s="905"/>
      <c r="O23" s="901" t="s">
        <v>109</v>
      </c>
      <c r="P23" s="902"/>
      <c r="Q23" s="353"/>
      <c r="R23" s="353"/>
      <c r="S23" s="100"/>
      <c r="T23" s="100"/>
      <c r="U23" s="341"/>
      <c r="V23" s="341"/>
      <c r="W23" s="341"/>
      <c r="X23" s="353"/>
      <c r="Y23" s="353"/>
      <c r="Z23" s="353"/>
      <c r="AA23" s="353"/>
      <c r="AB23" s="353"/>
      <c r="AC23" s="353"/>
      <c r="AD23" s="353"/>
      <c r="AE23" s="353"/>
      <c r="AF23" s="353"/>
      <c r="AG23" s="353"/>
    </row>
    <row r="24" spans="1:33" s="155" customFormat="1" ht="12.75" customHeight="1">
      <c r="A24" s="353"/>
      <c r="B24" s="341"/>
      <c r="C24" s="648"/>
      <c r="D24" s="648"/>
      <c r="E24" s="648"/>
      <c r="F24" s="927"/>
      <c r="G24" s="924"/>
      <c r="H24" s="911"/>
      <c r="I24" s="911" t="str">
        <f>IF('Język - Language'!$B$30="Polski","MOBILE BANNER GÓRNY","MOBILE UPPER BANNER")</f>
        <v>MOBILE BANNER GÓRNY</v>
      </c>
      <c r="J24" s="911"/>
      <c r="K24" s="772"/>
      <c r="L24" s="779"/>
      <c r="M24" s="904"/>
      <c r="N24" s="905"/>
      <c r="O24" s="901"/>
      <c r="P24" s="902"/>
      <c r="Q24" s="353"/>
      <c r="R24" s="353"/>
      <c r="S24" s="100"/>
      <c r="T24" s="100"/>
      <c r="U24" s="341"/>
      <c r="V24" s="341"/>
      <c r="W24" s="341"/>
      <c r="X24" s="353"/>
      <c r="Y24" s="353"/>
      <c r="Z24" s="353"/>
      <c r="AA24" s="353"/>
      <c r="AB24" s="353"/>
      <c r="AC24" s="353"/>
      <c r="AD24" s="353"/>
      <c r="AE24" s="353"/>
      <c r="AF24" s="353"/>
      <c r="AG24" s="353"/>
    </row>
    <row r="25" spans="1:33" s="118" customFormat="1" ht="25.5" customHeight="1">
      <c r="A25" s="353"/>
      <c r="B25" s="341"/>
      <c r="C25" s="648"/>
      <c r="D25" s="648"/>
      <c r="E25" s="648"/>
      <c r="F25" s="927"/>
      <c r="G25" s="892" t="str">
        <f>IF('Język - Language'!$B$30="Polski","rozliczenie za widzialne odsłony wg standardu IAB¹","settlement for visible ad views according to the IAB standard*")</f>
        <v>rozliczenie za widzialne odsłony wg standardu IAB¹</v>
      </c>
      <c r="H25" s="772"/>
      <c r="I25" s="772"/>
      <c r="J25" s="772"/>
      <c r="K25" s="772"/>
      <c r="L25" s="772"/>
      <c r="M25" s="772"/>
      <c r="N25" s="772"/>
      <c r="O25" s="772"/>
      <c r="P25" s="779"/>
      <c r="Q25" s="353"/>
      <c r="R25" s="353"/>
      <c r="S25" s="100"/>
      <c r="T25" s="100"/>
      <c r="U25" s="341"/>
      <c r="V25" s="341"/>
      <c r="W25" s="341"/>
      <c r="X25" s="353"/>
      <c r="Y25" s="353"/>
      <c r="Z25" s="353"/>
      <c r="AA25" s="353"/>
      <c r="AB25" s="353"/>
      <c r="AC25" s="353"/>
      <c r="AD25" s="353"/>
      <c r="AE25" s="353"/>
      <c r="AF25" s="353"/>
      <c r="AG25" s="353"/>
    </row>
    <row r="26" spans="1:33" s="104" customFormat="1" ht="12.75" customHeight="1">
      <c r="A26" s="353"/>
      <c r="B26" s="341"/>
      <c r="C26" s="903"/>
      <c r="D26" s="648"/>
      <c r="E26" s="648"/>
      <c r="F26" s="927"/>
      <c r="G26" s="470" t="str">
        <f>IF('Język - Language'!$B$30="Polski","STAT. WEW.","INT. STAT.")</f>
        <v>STAT. WEW.</v>
      </c>
      <c r="H26" s="349" t="str">
        <f>IF('Język - Language'!$B$30="Polski","STAT. ZEW.","EXT. STAT.")</f>
        <v>STAT. ZEW.</v>
      </c>
      <c r="I26" s="470" t="str">
        <f>IF('Język - Language'!$B$30="Polski","STAT. WEW.","INT. STAT.")</f>
        <v>STAT. WEW.</v>
      </c>
      <c r="J26" s="349" t="str">
        <f>IF('Język - Language'!$B$30="Polski","STAT. ZEW.","EXT. STAT.")</f>
        <v>STAT. ZEW.</v>
      </c>
      <c r="K26" s="470" t="str">
        <f>IF('Język - Language'!$B$30="Polski","STAT. WEW.","INT. STAT.")</f>
        <v>STAT. WEW.</v>
      </c>
      <c r="L26" s="349" t="str">
        <f>IF('Język - Language'!$B$30="Polski","STAT. ZEW.","EXT. STAT.")</f>
        <v>STAT. ZEW.</v>
      </c>
      <c r="M26" s="470" t="str">
        <f>IF('Język - Language'!$B$30="Polski","STAT. WEW.","INT. STAT.")</f>
        <v>STAT. WEW.</v>
      </c>
      <c r="N26" s="360" t="str">
        <f>IF('Język - Language'!$B$30="Polski","STAT. ZEW.","EXT. STAT.")</f>
        <v>STAT. ZEW.</v>
      </c>
      <c r="O26" s="470" t="str">
        <f>IF('Język - Language'!$B$30="Polski","STAT. WEW.","INT. STAT.")</f>
        <v>STAT. WEW.</v>
      </c>
      <c r="P26" s="482" t="str">
        <f>IF('Język - Language'!$B$30="Polski","STAT. ZEW.","EXT. STAT.")</f>
        <v>STAT. ZEW.</v>
      </c>
      <c r="Q26" s="353"/>
      <c r="R26" s="353"/>
      <c r="S26" s="100"/>
      <c r="T26" s="100"/>
      <c r="U26" s="341"/>
      <c r="V26" s="341"/>
      <c r="W26" s="341"/>
      <c r="X26" s="353"/>
      <c r="Y26" s="353"/>
      <c r="Z26" s="353"/>
      <c r="AA26" s="353"/>
      <c r="AB26" s="353"/>
      <c r="AC26" s="353"/>
      <c r="AD26" s="353"/>
      <c r="AE26" s="353"/>
      <c r="AF26" s="353"/>
      <c r="AG26" s="353"/>
    </row>
    <row r="27" spans="1:33" s="283" customFormat="1" ht="36" customHeight="1">
      <c r="A27" s="353"/>
      <c r="B27" s="897" t="s">
        <v>110</v>
      </c>
      <c r="C27" s="342" t="str">
        <f>IF('Język - Language'!$B$30="Polski","WPM ZASIĘG","WPM REACH")</f>
        <v>WPM ZASIĘG</v>
      </c>
      <c r="D27" s="557" t="str">
        <f>IF('Język - Language'!$B$30="Polski","WPM Zasięg (bez stron głównych o2 i WP oraz bez serwisów pocztowych)","WPM Reach (without o2 HP, WP HP and e-mail services)")</f>
        <v>WPM Zasięg (bez stron głównych o2 i WP oraz bez serwisów pocztowych)</v>
      </c>
      <c r="E27" s="557"/>
      <c r="F27" s="558"/>
      <c r="G27" s="343">
        <f>18*1.5</f>
        <v>27</v>
      </c>
      <c r="H27" s="473">
        <v>32.4</v>
      </c>
      <c r="I27" s="258">
        <f>G27*150%</f>
        <v>40.5</v>
      </c>
      <c r="J27" s="396">
        <v>48.6</v>
      </c>
      <c r="K27" s="258">
        <f>G27*200%</f>
        <v>54</v>
      </c>
      <c r="L27" s="473">
        <v>64.8</v>
      </c>
      <c r="M27" s="318" t="s">
        <v>94</v>
      </c>
      <c r="N27" s="398" t="s">
        <v>94</v>
      </c>
      <c r="O27" s="318" t="s">
        <v>94</v>
      </c>
      <c r="P27" s="398" t="s">
        <v>94</v>
      </c>
      <c r="Q27" s="353"/>
      <c r="R27" s="353"/>
      <c r="S27" s="98"/>
      <c r="T27" s="98"/>
      <c r="U27" s="341"/>
      <c r="V27" s="341"/>
      <c r="W27" s="341"/>
      <c r="X27" s="353"/>
      <c r="Y27" s="353"/>
      <c r="Z27" s="353"/>
      <c r="AA27" s="353"/>
      <c r="AB27" s="353"/>
      <c r="AC27" s="353"/>
      <c r="AD27" s="353"/>
      <c r="AE27" s="353"/>
      <c r="AF27" s="353"/>
      <c r="AG27" s="353"/>
    </row>
    <row r="28" spans="1:33" s="283" customFormat="1" ht="36" customHeight="1">
      <c r="A28" s="353"/>
      <c r="B28" s="897"/>
      <c r="C28" s="387" t="s">
        <v>111</v>
      </c>
      <c r="D28" s="893" t="str">
        <f>IF('Język - Language'!$B$30="Polski","WP SG, o2 SG²","WP HP, o2 HP²")</f>
        <v>WP SG, o2 SG²</v>
      </c>
      <c r="E28" s="893"/>
      <c r="F28" s="894"/>
      <c r="G28" s="344" t="s">
        <v>94</v>
      </c>
      <c r="H28" s="395" t="s">
        <v>94</v>
      </c>
      <c r="I28" s="326">
        <v>80</v>
      </c>
      <c r="J28" s="395">
        <v>96</v>
      </c>
      <c r="K28" s="326">
        <v>105</v>
      </c>
      <c r="L28" s="397">
        <v>126</v>
      </c>
      <c r="M28" s="345">
        <v>125</v>
      </c>
      <c r="N28" s="399">
        <v>150</v>
      </c>
      <c r="O28" s="345" t="s">
        <v>94</v>
      </c>
      <c r="P28" s="399" t="s">
        <v>94</v>
      </c>
      <c r="Q28" s="353"/>
      <c r="R28" s="353"/>
      <c r="S28" s="98"/>
      <c r="T28" s="98"/>
      <c r="U28" s="341"/>
      <c r="V28" s="341"/>
      <c r="W28" s="341"/>
      <c r="X28" s="353"/>
      <c r="Y28" s="353"/>
      <c r="Z28" s="353"/>
      <c r="AA28" s="353"/>
      <c r="AB28" s="353"/>
      <c r="AC28" s="353"/>
      <c r="AD28" s="353"/>
      <c r="AE28" s="353"/>
      <c r="AF28" s="353"/>
      <c r="AG28" s="353"/>
    </row>
    <row r="29" spans="1:33" s="353" customFormat="1" ht="36" customHeight="1">
      <c r="B29" s="897"/>
      <c r="C29" s="388" t="s">
        <v>112</v>
      </c>
      <c r="D29" s="557"/>
      <c r="E29" s="557"/>
      <c r="F29" s="558"/>
      <c r="G29" s="889" t="s">
        <v>113</v>
      </c>
      <c r="H29" s="890"/>
      <c r="I29" s="890"/>
      <c r="J29" s="890"/>
      <c r="K29" s="890"/>
      <c r="L29" s="890"/>
      <c r="M29" s="890"/>
      <c r="N29" s="890"/>
      <c r="O29" s="890"/>
      <c r="P29" s="891"/>
      <c r="S29" s="98"/>
      <c r="T29" s="98"/>
      <c r="U29" s="341"/>
      <c r="V29" s="341"/>
      <c r="W29" s="341"/>
    </row>
    <row r="30" spans="1:33" s="283" customFormat="1" ht="36" customHeight="1">
      <c r="A30" s="353"/>
      <c r="B30" s="897"/>
      <c r="C30" s="493" t="str">
        <f>IF('Język - Language'!$B$30="Polski","BIZNES","BUSINESS")</f>
        <v>BIZNES</v>
      </c>
      <c r="D30" s="557" t="str">
        <f>IF('Język - Language'!$B$30="Polski","WP Finanse, Portal Money.pl","WP Finanse, Money.pl + sites in the domain money.pl")</f>
        <v>WP Finanse, Portal Money.pl</v>
      </c>
      <c r="E30" s="557"/>
      <c r="F30" s="558"/>
      <c r="G30" s="343">
        <v>90</v>
      </c>
      <c r="H30" s="474">
        <v>108</v>
      </c>
      <c r="I30" s="343">
        <v>135</v>
      </c>
      <c r="J30" s="474">
        <v>162</v>
      </c>
      <c r="K30" s="343">
        <v>180</v>
      </c>
      <c r="L30" s="474">
        <v>216</v>
      </c>
      <c r="M30" s="346">
        <v>210</v>
      </c>
      <c r="N30" s="403">
        <v>252</v>
      </c>
      <c r="O30" s="346">
        <v>235</v>
      </c>
      <c r="P30" s="403">
        <v>282</v>
      </c>
      <c r="Q30" s="353"/>
      <c r="R30" s="353"/>
      <c r="S30" s="98"/>
      <c r="T30" s="98"/>
      <c r="U30" s="341"/>
      <c r="V30" s="341"/>
      <c r="W30" s="341"/>
      <c r="X30" s="353"/>
      <c r="Y30" s="353"/>
      <c r="Z30" s="353"/>
      <c r="AA30" s="353"/>
      <c r="AB30" s="353"/>
      <c r="AC30" s="353"/>
      <c r="AD30" s="353"/>
      <c r="AE30" s="353"/>
      <c r="AF30" s="353"/>
      <c r="AG30" s="353"/>
    </row>
    <row r="31" spans="1:33" s="283" customFormat="1" ht="36" customHeight="1">
      <c r="A31" s="353"/>
      <c r="B31" s="897"/>
      <c r="C31" s="342" t="str">
        <f>IF('Język - Language'!$B$30="Polski","INFO I SPORT","INFO AND SPORT")</f>
        <v>INFO I SPORT</v>
      </c>
      <c r="D31" s="893" t="str">
        <f>IF('Język - Language'!$B$30="Polski","WP Wiadomości, WP Opinie, WP Pogoda, WP SportoweFakty, Wawalove","WP Wiadomości, WP Opinie, WP Pogoda, WP Sportowefakty, Wawalove")</f>
        <v>WP Wiadomości, WP Opinie, WP Pogoda, WP SportoweFakty, Wawalove</v>
      </c>
      <c r="E31" s="893"/>
      <c r="F31" s="894"/>
      <c r="G31" s="347">
        <v>55</v>
      </c>
      <c r="H31" s="400">
        <v>65</v>
      </c>
      <c r="I31" s="344">
        <v>80</v>
      </c>
      <c r="J31" s="400">
        <v>96</v>
      </c>
      <c r="K31" s="344">
        <v>105</v>
      </c>
      <c r="L31" s="400">
        <v>126</v>
      </c>
      <c r="M31" s="345">
        <v>125</v>
      </c>
      <c r="N31" s="399">
        <v>150</v>
      </c>
      <c r="O31" s="345">
        <v>145</v>
      </c>
      <c r="P31" s="399">
        <v>175</v>
      </c>
      <c r="Q31" s="353"/>
      <c r="R31" s="353"/>
      <c r="S31" s="98"/>
      <c r="T31" s="98"/>
      <c r="U31" s="341"/>
      <c r="V31" s="341"/>
      <c r="W31" s="341"/>
      <c r="X31" s="353"/>
      <c r="Y31" s="353"/>
      <c r="Z31" s="353"/>
      <c r="AA31" s="353"/>
      <c r="AB31" s="353"/>
      <c r="AC31" s="353"/>
      <c r="AD31" s="353"/>
      <c r="AE31" s="353"/>
      <c r="AF31" s="353"/>
      <c r="AG31" s="353"/>
    </row>
    <row r="32" spans="1:33" ht="36" customHeight="1">
      <c r="A32" s="353"/>
      <c r="B32" s="897"/>
      <c r="C32" s="348" t="str">
        <f>IF('Język - Language'!$B$30="Polski","MOTORYZACJA","AUTOMOTIVE")</f>
        <v>MOTORYZACJA</v>
      </c>
      <c r="D32" s="557" t="str">
        <f>IF('Język - Language'!$B$30="Polski","WP Autokult, WP Moto","WP Autokult, WP Moto")</f>
        <v>WP Autokult, WP Moto</v>
      </c>
      <c r="E32" s="557"/>
      <c r="F32" s="558"/>
      <c r="G32" s="347">
        <v>45</v>
      </c>
      <c r="H32" s="400">
        <v>54</v>
      </c>
      <c r="I32" s="344">
        <v>68</v>
      </c>
      <c r="J32" s="400">
        <v>81</v>
      </c>
      <c r="K32" s="344">
        <v>90</v>
      </c>
      <c r="L32" s="400">
        <v>108</v>
      </c>
      <c r="M32" s="345">
        <v>106</v>
      </c>
      <c r="N32" s="399">
        <v>127</v>
      </c>
      <c r="O32" s="345">
        <v>120</v>
      </c>
      <c r="P32" s="399">
        <v>144</v>
      </c>
      <c r="Q32" s="353"/>
      <c r="R32" s="353"/>
      <c r="S32" s="100"/>
      <c r="T32" s="100"/>
      <c r="U32" s="341"/>
      <c r="V32" s="341"/>
      <c r="W32" s="341"/>
      <c r="X32" s="353"/>
      <c r="Y32" s="353"/>
      <c r="Z32" s="353"/>
      <c r="AA32" s="353"/>
      <c r="AB32" s="353"/>
      <c r="AC32" s="353"/>
      <c r="AD32" s="353"/>
      <c r="AE32" s="353"/>
      <c r="AF32" s="353"/>
      <c r="AG32" s="353"/>
    </row>
    <row r="33" spans="1:28" s="283" customFormat="1" ht="42" customHeight="1">
      <c r="A33" s="353"/>
      <c r="B33" s="897"/>
      <c r="C33" s="342" t="str">
        <f>IF('Język - Language'!$B$30="Polski","ROZRYWKA","FUN")</f>
        <v>ROZRYWKA</v>
      </c>
      <c r="D33" s="893" t="str">
        <f>IF('Język - Language'!$B$30="Polski","WP Film, WP Gwiazdy, WP Książki, WP Program TV, WP Teleshow, Pudelek, o2 serwisy, o2 warstwy","WP Film, WP Gwiazdy, WP Książki, WP Program TV, WP Teleshow, Pudelek, o2 pages, o2 layers")</f>
        <v>WP Film, WP Gwiazdy, WP Książki, WP Program TV, WP Teleshow, Pudelek, o2 serwisy, o2 warstwy</v>
      </c>
      <c r="E33" s="893"/>
      <c r="F33" s="894"/>
      <c r="G33" s="347">
        <v>30</v>
      </c>
      <c r="H33" s="400">
        <v>36</v>
      </c>
      <c r="I33" s="344">
        <v>45</v>
      </c>
      <c r="J33" s="400">
        <v>54</v>
      </c>
      <c r="K33" s="344">
        <v>60</v>
      </c>
      <c r="L33" s="400">
        <v>72</v>
      </c>
      <c r="M33" s="345">
        <v>70</v>
      </c>
      <c r="N33" s="399">
        <v>84</v>
      </c>
      <c r="O33" s="345">
        <v>78</v>
      </c>
      <c r="P33" s="399">
        <v>94</v>
      </c>
      <c r="Q33" s="353"/>
      <c r="R33" s="353"/>
      <c r="S33" s="98"/>
      <c r="T33" s="98"/>
      <c r="U33" s="341"/>
      <c r="V33" s="341"/>
      <c r="W33" s="341"/>
      <c r="X33" s="353"/>
      <c r="Y33" s="353"/>
      <c r="Z33" s="353"/>
      <c r="AA33" s="353"/>
      <c r="AB33" s="353"/>
    </row>
    <row r="34" spans="1:28" ht="36" customHeight="1">
      <c r="A34" s="353"/>
      <c r="B34" s="897"/>
      <c r="C34" s="342" t="str">
        <f>IF('Język - Language'!$B$30="Polski","STYL ŻYCIA","LIFESTYLE")</f>
        <v>STYL ŻYCIA</v>
      </c>
      <c r="D34" s="557" t="str">
        <f>IF('Język - Language'!$B$30="Polski","WP Facet, WP Kobieta, Kafeteria.pl, WP Kuchnia, WP Turystyka","WP Facet, WP Kobieta, Kafeteria.pl, WP Kuchnia, WP Turystyka")</f>
        <v>WP Facet, WP Kobieta, Kafeteria.pl, WP Kuchnia, WP Turystyka</v>
      </c>
      <c r="E34" s="557"/>
      <c r="F34" s="558"/>
      <c r="G34" s="347">
        <v>45</v>
      </c>
      <c r="H34" s="400">
        <v>54</v>
      </c>
      <c r="I34" s="344">
        <v>68</v>
      </c>
      <c r="J34" s="400">
        <v>81</v>
      </c>
      <c r="K34" s="344">
        <v>90</v>
      </c>
      <c r="L34" s="400">
        <v>108</v>
      </c>
      <c r="M34" s="345">
        <v>106</v>
      </c>
      <c r="N34" s="399">
        <v>127</v>
      </c>
      <c r="O34" s="345">
        <v>120</v>
      </c>
      <c r="P34" s="399">
        <v>144</v>
      </c>
      <c r="Q34" s="353"/>
      <c r="R34" s="353"/>
      <c r="S34" s="98"/>
      <c r="T34" s="98"/>
      <c r="U34" s="341"/>
      <c r="V34" s="341"/>
      <c r="W34" s="341"/>
      <c r="X34" s="353"/>
      <c r="Y34" s="353"/>
      <c r="Z34" s="353"/>
      <c r="AA34" s="353"/>
      <c r="AB34" s="353"/>
    </row>
    <row r="35" spans="1:28" s="90" customFormat="1" ht="36" customHeight="1">
      <c r="A35" s="353"/>
      <c r="B35" s="897"/>
      <c r="C35" s="348" t="str">
        <f>IF('Język - Language'!$B$30="Polski","TECHNOLOGIA","TECHNOLOGY")</f>
        <v>TECHNOLOGIA</v>
      </c>
      <c r="D35" s="557" t="str">
        <f>IF('Język - Language'!$B$30="Polski","WP Tech, WP Gry, WP Fotoblogia, WP Gadżetomania, WP Komórkomania, dobreprogramy.pl⁵","WP Tech, WP Gry, WP Fotoblogia, WP Gadżetomania, WP Komórkomania, dobreprogramy.pl⁵")</f>
        <v>WP Tech, WP Gry, WP Fotoblogia, WP Gadżetomania, WP Komórkomania, dobreprogramy.pl⁵</v>
      </c>
      <c r="E35" s="557"/>
      <c r="F35" s="558"/>
      <c r="G35" s="347">
        <v>45</v>
      </c>
      <c r="H35" s="400">
        <v>54</v>
      </c>
      <c r="I35" s="344">
        <v>68</v>
      </c>
      <c r="J35" s="400">
        <v>81</v>
      </c>
      <c r="K35" s="344">
        <v>90</v>
      </c>
      <c r="L35" s="400">
        <v>108</v>
      </c>
      <c r="M35" s="345">
        <v>106</v>
      </c>
      <c r="N35" s="399">
        <v>127</v>
      </c>
      <c r="O35" s="345">
        <v>120</v>
      </c>
      <c r="P35" s="399">
        <v>144</v>
      </c>
      <c r="Q35" s="353"/>
      <c r="R35" s="353"/>
      <c r="S35" s="98"/>
      <c r="T35" s="98"/>
      <c r="U35" s="341"/>
      <c r="V35" s="341"/>
      <c r="W35" s="341"/>
      <c r="X35" s="353"/>
      <c r="Y35" s="353"/>
      <c r="Z35" s="353"/>
      <c r="AA35" s="353"/>
      <c r="AB35" s="353"/>
    </row>
    <row r="36" spans="1:28" s="93" customFormat="1" ht="36" customHeight="1">
      <c r="A36" s="353"/>
      <c r="B36" s="897"/>
      <c r="C36" s="342" t="str">
        <f>IF('Język - Language'!$B$30="Polski","ZDROWIE I PARENTING","HEALTH AND PARENTING")</f>
        <v>ZDROWIE I PARENTING</v>
      </c>
      <c r="D36" s="887" t="str">
        <f>IF('Język - Language'!$B$30="Polski","WP abcZdrowie, WP Fitness, WP Jejswiat, WP Parenting, Medycyna24, Nerwica.com","WP abcZdrowie, WP Fitness, WP Jejswiat, WP Parenting, Medycyna24, Nerwica.com")</f>
        <v>WP abcZdrowie, WP Fitness, WP Jejswiat, WP Parenting, Medycyna24, Nerwica.com</v>
      </c>
      <c r="E36" s="887"/>
      <c r="F36" s="888"/>
      <c r="G36" s="344">
        <v>82.5</v>
      </c>
      <c r="H36" s="401">
        <v>99</v>
      </c>
      <c r="I36" s="344">
        <v>120</v>
      </c>
      <c r="J36" s="401">
        <v>144</v>
      </c>
      <c r="K36" s="344">
        <v>165</v>
      </c>
      <c r="L36" s="401">
        <v>198</v>
      </c>
      <c r="M36" s="345">
        <v>187</v>
      </c>
      <c r="N36" s="404">
        <v>224</v>
      </c>
      <c r="O36" s="345">
        <v>210</v>
      </c>
      <c r="P36" s="404">
        <v>252</v>
      </c>
      <c r="Q36" s="353"/>
      <c r="R36" s="353"/>
      <c r="S36" s="99"/>
      <c r="T36" s="99"/>
      <c r="U36" s="341"/>
      <c r="V36" s="341"/>
      <c r="W36" s="341"/>
      <c r="X36" s="353"/>
      <c r="Y36" s="353"/>
      <c r="Z36" s="353"/>
      <c r="AA36" s="353"/>
      <c r="AB36" s="353"/>
    </row>
    <row r="37" spans="1:28" s="283" customFormat="1" ht="36" customHeight="1">
      <c r="A37" s="353"/>
      <c r="B37" s="897"/>
      <c r="C37" s="342" t="str">
        <f>IF('Język - Language'!$B$30="Polski","WIDEO I AUDIO","VIDEO AND AUDIO")</f>
        <v>WIDEO I AUDIO</v>
      </c>
      <c r="D37" s="887" t="str">
        <f>IF('Język - Language'!$B$30="Polski","WP Pilot, WP Wideo, OpenFM","WP Pilot, WP Wideo, OpenFM")</f>
        <v>WP Pilot, WP Wideo, OpenFM</v>
      </c>
      <c r="E37" s="887"/>
      <c r="F37" s="888"/>
      <c r="G37" s="344">
        <v>45</v>
      </c>
      <c r="H37" s="401">
        <v>54</v>
      </c>
      <c r="I37" s="344">
        <v>68</v>
      </c>
      <c r="J37" s="401">
        <v>81</v>
      </c>
      <c r="K37" s="344">
        <v>90</v>
      </c>
      <c r="L37" s="401">
        <v>108</v>
      </c>
      <c r="M37" s="345">
        <v>106</v>
      </c>
      <c r="N37" s="404">
        <v>127</v>
      </c>
      <c r="O37" s="345">
        <v>120</v>
      </c>
      <c r="P37" s="404">
        <v>144</v>
      </c>
      <c r="Q37" s="353"/>
      <c r="R37" s="353"/>
      <c r="S37" s="99"/>
      <c r="T37" s="99"/>
      <c r="U37" s="341"/>
      <c r="V37" s="341"/>
      <c r="W37" s="341"/>
      <c r="X37" s="353"/>
      <c r="Y37" s="353"/>
      <c r="Z37" s="353"/>
      <c r="AA37" s="353"/>
      <c r="AB37" s="353"/>
    </row>
    <row r="38" spans="1:28" ht="36" customHeight="1">
      <c r="A38" s="353"/>
      <c r="B38" s="897"/>
      <c r="C38" s="348" t="str">
        <f>IF('Język - Language'!$B$30="Polski","PAKIET SPECJALNY","DEDICATED PACKAGE")</f>
        <v>PAKIET SPECJALNY</v>
      </c>
      <c r="D38" s="557" t="str">
        <f>IF('Język - Language'!$B$30="Polski","Min. 4 wybrane serwisy - BEZ SERWISÓW KATEGORII BIZNES oraz ZDROWIE I PRENTING","Min. 4 wybrane serwisy - EXCLUDING BUSINESS, HEALTH AND PARENTING SITES")</f>
        <v>Min. 4 wybrane serwisy - BEZ SERWISÓW KATEGORII BIZNES oraz ZDROWIE I PRENTING</v>
      </c>
      <c r="E38" s="557"/>
      <c r="F38" s="558"/>
      <c r="G38" s="257">
        <v>66.5</v>
      </c>
      <c r="H38" s="402">
        <v>79.800000000000011</v>
      </c>
      <c r="I38" s="257">
        <v>85.5</v>
      </c>
      <c r="J38" s="402">
        <v>102.60000000000001</v>
      </c>
      <c r="K38" s="257">
        <v>114</v>
      </c>
      <c r="L38" s="402">
        <v>136.80000000000001</v>
      </c>
      <c r="M38" s="329">
        <v>135</v>
      </c>
      <c r="N38" s="402">
        <v>162</v>
      </c>
      <c r="O38" s="329">
        <v>150</v>
      </c>
      <c r="P38" s="402">
        <v>180</v>
      </c>
      <c r="Q38" s="341"/>
      <c r="R38" s="341"/>
      <c r="S38" s="26"/>
      <c r="T38" s="26"/>
      <c r="U38" s="16"/>
      <c r="V38" s="26"/>
      <c r="W38" s="26"/>
      <c r="X38" s="341"/>
      <c r="Y38" s="341"/>
      <c r="Z38" s="341"/>
      <c r="AA38" s="341"/>
      <c r="AB38" s="341"/>
    </row>
    <row r="39" spans="1:28">
      <c r="A39" s="353"/>
      <c r="B39" s="353"/>
      <c r="C39" s="357" t="str">
        <f>IF('Język - Language'!$B$30="Polski","¹ ceny dotyczą rozliczenia vCPM zgodnego ze standardem IAB, dla innych standardów obowiązuje wycena indywidualna","* the above prices concern the vCPM settlement according to the IAB standard, for other standards individual valuation applies")</f>
        <v>¹ ceny dotyczą rozliczenia vCPM zgodnego ze standardem IAB, dla innych standardów obowiązuje wycena indywidualna</v>
      </c>
      <c r="D39" s="105"/>
      <c r="E39" s="107"/>
      <c r="F39" s="107"/>
      <c r="G39" s="105"/>
      <c r="H39" s="105"/>
      <c r="I39" s="105"/>
      <c r="J39" s="106"/>
      <c r="K39" s="353"/>
      <c r="L39" s="353"/>
      <c r="M39" s="353"/>
      <c r="N39" s="353"/>
      <c r="O39" s="353"/>
      <c r="P39" s="353"/>
      <c r="Q39" s="353"/>
      <c r="R39" s="353"/>
      <c r="S39" s="353"/>
      <c r="T39" s="353"/>
      <c r="U39" s="353"/>
      <c r="V39" s="353"/>
      <c r="W39" s="353"/>
      <c r="X39" s="353"/>
      <c r="Y39" s="353"/>
      <c r="Z39" s="353"/>
      <c r="AA39" s="353"/>
      <c r="AB39" s="353"/>
    </row>
    <row r="40" spans="1:28">
      <c r="A40" s="353"/>
      <c r="B40" s="353"/>
      <c r="C40" s="358" t="str">
        <f>IF('Język - Language'!$B$30="Polski","² na SG O2 możliwość emisji wybranych formatów reklamowych (bez Halfpage)","² in case of o2 only selected advertising formats are applicable (without Halfpage)")</f>
        <v>² na SG O2 możliwość emisji wybranych formatów reklamowych (bez Halfpage)</v>
      </c>
      <c r="D40" s="67"/>
      <c r="E40" s="49"/>
      <c r="F40" s="49"/>
      <c r="G40" s="353"/>
      <c r="H40" s="353"/>
      <c r="I40" s="353"/>
      <c r="J40" s="353"/>
      <c r="K40" s="353"/>
      <c r="L40" s="353"/>
      <c r="M40" s="353"/>
      <c r="N40" s="353"/>
      <c r="O40" s="353"/>
      <c r="P40" s="353"/>
      <c r="Q40" s="353"/>
      <c r="R40" s="353"/>
      <c r="S40" s="353"/>
      <c r="T40" s="353"/>
      <c r="U40" s="353"/>
      <c r="V40" s="353"/>
      <c r="W40" s="353"/>
      <c r="X40" s="353"/>
      <c r="Y40" s="353"/>
      <c r="Z40" s="353"/>
      <c r="AA40" s="353"/>
      <c r="AB40" s="353"/>
    </row>
    <row r="41" spans="1:28" s="283" customFormat="1">
      <c r="A41" s="353"/>
      <c r="B41" s="353"/>
      <c r="C41" s="358" t="str">
        <f>IF('Język - Language'!$B$30="Polski","³ Format dostępny na wybranych serwisach","³ Available only in selected sites")</f>
        <v>³ Format dostępny na wybranych serwisach</v>
      </c>
      <c r="D41" s="67"/>
      <c r="E41" s="49"/>
      <c r="F41" s="49"/>
      <c r="G41" s="353"/>
      <c r="H41" s="353"/>
      <c r="I41" s="353"/>
      <c r="J41" s="353"/>
      <c r="K41" s="353"/>
      <c r="L41" s="353"/>
      <c r="M41" s="353"/>
      <c r="N41" s="353"/>
      <c r="O41" s="353"/>
      <c r="P41" s="353"/>
      <c r="Q41" s="353"/>
      <c r="R41" s="353"/>
      <c r="S41" s="353"/>
      <c r="T41" s="353"/>
      <c r="U41" s="353"/>
      <c r="V41" s="353"/>
      <c r="W41" s="353"/>
      <c r="X41" s="353"/>
      <c r="Y41" s="353"/>
      <c r="Z41" s="353"/>
      <c r="AA41" s="353"/>
      <c r="AB41" s="353"/>
    </row>
    <row r="42" spans="1:28" s="283" customFormat="1">
      <c r="A42" s="353"/>
      <c r="B42" s="353"/>
      <c r="C42" s="338" t="s">
        <v>114</v>
      </c>
      <c r="D42" s="67"/>
      <c r="E42" s="49"/>
      <c r="F42" s="49"/>
      <c r="G42" s="353"/>
      <c r="H42" s="353"/>
      <c r="I42" s="353"/>
      <c r="J42" s="353"/>
      <c r="K42" s="353"/>
      <c r="L42" s="353"/>
      <c r="M42" s="353"/>
      <c r="N42" s="353"/>
      <c r="O42" s="353"/>
      <c r="P42" s="353"/>
      <c r="Q42" s="353"/>
      <c r="R42" s="353"/>
      <c r="S42" s="353"/>
      <c r="T42" s="353"/>
      <c r="U42" s="353"/>
      <c r="V42" s="353"/>
      <c r="W42" s="353"/>
      <c r="X42" s="353"/>
      <c r="Y42" s="353"/>
      <c r="Z42" s="353"/>
      <c r="AA42" s="353"/>
      <c r="AB42" s="353"/>
    </row>
    <row r="43" spans="1:28" s="353" customFormat="1">
      <c r="C43" s="338" t="s">
        <v>115</v>
      </c>
      <c r="D43" s="67"/>
      <c r="E43" s="49"/>
      <c r="F43" s="49"/>
    </row>
    <row r="44" spans="1:28" s="101" customFormat="1" ht="12.75" customHeight="1">
      <c r="A44" s="353"/>
      <c r="B44" s="341"/>
      <c r="C44" s="108"/>
      <c r="D44" s="140"/>
      <c r="E44" s="23"/>
      <c r="F44" s="23"/>
      <c r="G44" s="23"/>
      <c r="H44" s="23"/>
      <c r="I44" s="23"/>
      <c r="J44" s="23"/>
      <c r="K44" s="24"/>
      <c r="L44" s="24"/>
      <c r="M44" s="24"/>
      <c r="N44" s="24"/>
      <c r="O44" s="353"/>
      <c r="P44" s="353"/>
      <c r="Q44" s="353"/>
      <c r="R44" s="353"/>
      <c r="S44" s="353"/>
      <c r="T44" s="353"/>
      <c r="U44" s="353"/>
      <c r="V44" s="353"/>
      <c r="W44" s="353"/>
      <c r="X44" s="353"/>
      <c r="Y44" s="353"/>
      <c r="Z44" s="353"/>
      <c r="AA44" s="353"/>
      <c r="AB44" s="353"/>
    </row>
    <row r="46" spans="1:28" ht="25.5" customHeight="1">
      <c r="A46" s="353"/>
      <c r="B46" s="25"/>
      <c r="C46" s="868" t="str">
        <f>IF('Język - Language'!$B$30="Polski","ARTYKUŁY SPONSOROWANE","ADVERTORIALS")</f>
        <v>ARTYKUŁY SPONSOROWANE</v>
      </c>
      <c r="D46" s="648"/>
      <c r="E46" s="648"/>
      <c r="F46" s="648"/>
      <c r="G46" s="648"/>
      <c r="H46" s="648"/>
      <c r="I46" s="648"/>
      <c r="J46" s="648"/>
      <c r="K46" s="648"/>
      <c r="L46" s="648"/>
      <c r="M46" s="648"/>
      <c r="N46" s="655"/>
      <c r="O46" s="353"/>
      <c r="P46" s="353"/>
      <c r="Q46" s="353"/>
      <c r="R46" s="353"/>
      <c r="S46" s="353"/>
      <c r="T46" s="353"/>
      <c r="U46" s="353"/>
      <c r="V46" s="353"/>
      <c r="W46" s="353"/>
      <c r="X46" s="353"/>
      <c r="Y46" s="353"/>
      <c r="Z46" s="353"/>
      <c r="AA46" s="353"/>
      <c r="AB46" s="353"/>
    </row>
    <row r="47" spans="1:28" ht="12.75" customHeight="1">
      <c r="A47" s="353"/>
      <c r="B47" s="25"/>
      <c r="C47" s="319" t="s">
        <v>134</v>
      </c>
      <c r="D47" s="876" t="s">
        <v>207</v>
      </c>
      <c r="E47" s="876"/>
      <c r="F47" s="939"/>
      <c r="G47" s="868" t="str">
        <f>IF('Język - Language'!$B$30="Polski","ARTYKUŁ SPONSOROWANY Z GWARANCJĄ¹","ADVERTORIALS WITH A GUARANTEE¹")</f>
        <v>ARTYKUŁ SPONSOROWANY Z GWARANCJĄ¹</v>
      </c>
      <c r="H47" s="648"/>
      <c r="I47" s="648"/>
      <c r="J47" s="655"/>
      <c r="K47" s="944" t="s">
        <v>209</v>
      </c>
      <c r="L47" s="945"/>
      <c r="M47" s="945"/>
      <c r="N47" s="946"/>
      <c r="O47" s="353"/>
      <c r="P47" s="353"/>
      <c r="Q47" s="353"/>
      <c r="R47" s="353"/>
      <c r="S47" s="353"/>
      <c r="T47" s="353"/>
      <c r="U47" s="353"/>
      <c r="V47" s="353"/>
      <c r="W47" s="353"/>
      <c r="X47" s="353"/>
      <c r="Y47" s="353"/>
      <c r="Z47" s="353"/>
      <c r="AA47" s="353"/>
      <c r="AB47" s="353"/>
    </row>
    <row r="48" spans="1:28" ht="12.75" customHeight="1">
      <c r="A48" s="353"/>
      <c r="B48" s="795" t="s">
        <v>211</v>
      </c>
      <c r="C48" s="445" t="s">
        <v>155</v>
      </c>
      <c r="D48" s="862">
        <v>11000</v>
      </c>
      <c r="E48" s="855"/>
      <c r="F48" s="856"/>
      <c r="G48" s="859">
        <v>9000</v>
      </c>
      <c r="H48" s="860"/>
      <c r="I48" s="860"/>
      <c r="J48" s="861"/>
      <c r="K48" s="947" t="s">
        <v>8</v>
      </c>
      <c r="L48" s="948"/>
      <c r="M48" s="948"/>
      <c r="N48" s="949"/>
      <c r="O48" s="353"/>
      <c r="P48" s="353"/>
      <c r="Q48" s="353"/>
      <c r="R48" s="353"/>
      <c r="S48" s="353"/>
      <c r="T48" s="353"/>
      <c r="U48" s="353"/>
      <c r="V48" s="353"/>
      <c r="W48" s="353"/>
      <c r="X48" s="353"/>
      <c r="Y48" s="353"/>
      <c r="Z48" s="353"/>
      <c r="AA48" s="353"/>
      <c r="AB48" s="353"/>
    </row>
    <row r="49" spans="1:15" ht="12.75" customHeight="1">
      <c r="A49" s="353"/>
      <c r="B49" s="795"/>
      <c r="C49" s="443" t="s">
        <v>161</v>
      </c>
      <c r="D49" s="862">
        <v>11000</v>
      </c>
      <c r="E49" s="855"/>
      <c r="F49" s="856"/>
      <c r="G49" s="859"/>
      <c r="H49" s="860"/>
      <c r="I49" s="860"/>
      <c r="J49" s="861"/>
      <c r="K49" s="947"/>
      <c r="L49" s="948"/>
      <c r="M49" s="948"/>
      <c r="N49" s="949"/>
    </row>
    <row r="50" spans="1:15" ht="12.75" customHeight="1">
      <c r="A50" s="353"/>
      <c r="B50" s="795"/>
      <c r="C50" s="443" t="s">
        <v>180</v>
      </c>
      <c r="D50" s="862">
        <v>11000</v>
      </c>
      <c r="E50" s="855"/>
      <c r="F50" s="856"/>
      <c r="G50" s="859"/>
      <c r="H50" s="860"/>
      <c r="I50" s="860"/>
      <c r="J50" s="861"/>
      <c r="K50" s="947"/>
      <c r="L50" s="948"/>
      <c r="M50" s="948"/>
      <c r="N50" s="949"/>
    </row>
    <row r="51" spans="1:15" ht="12.75" customHeight="1">
      <c r="A51" s="353"/>
      <c r="B51" s="795"/>
      <c r="C51" s="223" t="s">
        <v>167</v>
      </c>
      <c r="D51" s="862">
        <v>7500</v>
      </c>
      <c r="E51" s="855"/>
      <c r="F51" s="856"/>
      <c r="G51" s="859"/>
      <c r="H51" s="860"/>
      <c r="I51" s="860"/>
      <c r="J51" s="861"/>
      <c r="K51" s="947"/>
      <c r="L51" s="948"/>
      <c r="M51" s="948"/>
      <c r="N51" s="949"/>
    </row>
    <row r="52" spans="1:15" s="353" customFormat="1" ht="12.75" customHeight="1">
      <c r="B52" s="795"/>
      <c r="C52" s="223" t="s">
        <v>178</v>
      </c>
      <c r="D52" s="875">
        <v>7500</v>
      </c>
      <c r="E52" s="857"/>
      <c r="F52" s="858"/>
      <c r="G52" s="859"/>
      <c r="H52" s="860"/>
      <c r="I52" s="860"/>
      <c r="J52" s="861"/>
      <c r="K52" s="947"/>
      <c r="L52" s="948"/>
      <c r="M52" s="948"/>
      <c r="N52" s="949"/>
    </row>
    <row r="53" spans="1:15" s="353" customFormat="1" ht="12.75" customHeight="1">
      <c r="B53" s="795"/>
      <c r="C53" s="223" t="s">
        <v>171</v>
      </c>
      <c r="D53" s="875">
        <v>4000</v>
      </c>
      <c r="E53" s="857"/>
      <c r="F53" s="858"/>
      <c r="G53" s="859"/>
      <c r="H53" s="860"/>
      <c r="I53" s="860"/>
      <c r="J53" s="861"/>
      <c r="K53" s="947"/>
      <c r="L53" s="948"/>
      <c r="M53" s="948"/>
      <c r="N53" s="949"/>
    </row>
    <row r="54" spans="1:15" s="133" customFormat="1" ht="12.75" customHeight="1">
      <c r="A54" s="353"/>
      <c r="B54" s="795"/>
      <c r="C54" s="239" t="s">
        <v>175</v>
      </c>
      <c r="D54" s="862">
        <v>4000</v>
      </c>
      <c r="E54" s="855"/>
      <c r="F54" s="856"/>
      <c r="G54" s="862"/>
      <c r="H54" s="855"/>
      <c r="I54" s="855"/>
      <c r="J54" s="856"/>
      <c r="K54" s="937"/>
      <c r="L54" s="950"/>
      <c r="M54" s="950"/>
      <c r="N54" s="938"/>
    </row>
    <row r="55" spans="1:15" s="353" customFormat="1" ht="12.75" customHeight="1">
      <c r="B55" s="867"/>
      <c r="C55" s="224" t="s">
        <v>210</v>
      </c>
      <c r="D55" s="853" t="s">
        <v>8</v>
      </c>
      <c r="E55" s="854"/>
      <c r="F55" s="863"/>
      <c r="G55" s="853" t="s">
        <v>8</v>
      </c>
      <c r="H55" s="854"/>
      <c r="I55" s="854"/>
      <c r="J55" s="863"/>
      <c r="K55" s="864">
        <v>2500</v>
      </c>
      <c r="L55" s="865"/>
      <c r="M55" s="865"/>
      <c r="N55" s="866"/>
    </row>
    <row r="56" spans="1:15" s="353" customFormat="1" ht="12.75" customHeight="1">
      <c r="B56" s="341"/>
      <c r="C56" s="228" t="str">
        <f>IF('Język - Language'!$B$30="Polski","¹ gwarancja oglądalności 5 000 UU","¹ guarantee 5 000 UU")</f>
        <v>¹ gwarancja oglądalności 5 000 UU</v>
      </c>
      <c r="D56" s="512"/>
      <c r="E56" s="512"/>
      <c r="F56" s="512"/>
      <c r="G56" s="237"/>
      <c r="H56" s="237"/>
      <c r="I56" s="236"/>
      <c r="J56" s="236"/>
      <c r="K56" s="236"/>
      <c r="M56" s="515"/>
    </row>
    <row r="57" spans="1:15" s="353" customFormat="1" ht="12.75" customHeight="1">
      <c r="B57" s="341"/>
      <c r="C57" s="228"/>
      <c r="D57" s="512"/>
      <c r="E57" s="512"/>
      <c r="F57" s="512"/>
      <c r="G57" s="237"/>
      <c r="H57" s="237"/>
      <c r="I57" s="236"/>
      <c r="J57" s="236"/>
      <c r="K57" s="236"/>
      <c r="M57" s="515"/>
    </row>
    <row r="58" spans="1:15" s="133" customFormat="1" ht="12.75" customHeight="1">
      <c r="A58" s="353"/>
      <c r="B58" s="341"/>
      <c r="C58" s="225" t="str">
        <f>IF('Język - Language'!$B$30="Polski","ARTYKUŁ SPONSOROWANY LOKALNY - OPCJE DODATKOWE / DOPŁATY DO CENY PODSTAWOWEJ:","ADDITIONAL OPTIONS / EXTRA CHARGES TO BASIC PRICE:")</f>
        <v>ARTYKUŁ SPONSOROWANY LOKALNY - OPCJE DODATKOWE / DOPŁATY DO CENY PODSTAWOWEJ:</v>
      </c>
      <c r="D58" s="484"/>
      <c r="E58" s="484"/>
      <c r="F58" s="484"/>
      <c r="G58" s="237"/>
      <c r="H58" s="237"/>
      <c r="I58" s="236"/>
      <c r="J58" s="236"/>
      <c r="K58" s="236"/>
      <c r="L58" s="353"/>
      <c r="M58" s="480"/>
      <c r="N58" s="353"/>
    </row>
    <row r="59" spans="1:15" s="133" customFormat="1" ht="25.5" customHeight="1">
      <c r="A59" s="353"/>
      <c r="B59" s="25"/>
      <c r="C59" s="872" t="str">
        <f>IF('Język - Language'!$B$30="Polski","WOJEWÓDZTWO","PROVINCE")</f>
        <v>WOJEWÓDZTWO</v>
      </c>
      <c r="D59" s="485"/>
      <c r="E59" s="873" t="str">
        <f>IF('Język - Language'!$B$30="Polski","GEOTARGETOWANY LINK TEKSTOWY NA SG WP / 1 DZIEŃ, FLAT FEE¹","TEXTUAL LINK WITH GEOTARGETING IN THE WP HP / 1 DAY, FLAT FEE¹")</f>
        <v>GEOTARGETOWANY LINK TEKSTOWY NA SG WP / 1 DZIEŃ, FLAT FEE¹</v>
      </c>
      <c r="F59" s="873"/>
      <c r="G59" s="648" t="str">
        <f>IF('Język - Language'!$B$30="Polski","GEOBOX NA SG WP, 7 DNI, FLAT FEE¹","GEOBOX IN THE WP HP, 7 DAYS, FLAT FEE¹")</f>
        <v>GEOBOX NA SG WP, 7 DNI, FLAT FEE¹</v>
      </c>
      <c r="H59" s="648"/>
      <c r="I59" s="648"/>
      <c r="J59" s="655"/>
      <c r="K59" s="236"/>
      <c r="L59" s="236"/>
      <c r="M59" s="236"/>
      <c r="N59" s="353"/>
      <c r="O59" s="480"/>
    </row>
    <row r="60" spans="1:15" s="133" customFormat="1" ht="24.75" customHeight="1">
      <c r="A60" s="353"/>
      <c r="B60" s="341"/>
      <c r="C60" s="826"/>
      <c r="D60" s="472"/>
      <c r="E60" s="481" t="str">
        <f>IF('Język - Language'!$B$30="Polski","MODUŁ WIADOMOŚCI","CATEGORY NEWS")</f>
        <v>MODUŁ WIADOMOŚCI</v>
      </c>
      <c r="F60" s="476" t="str">
        <f>IF('Język - Language'!$B$30="Polski","MODUŁ SPORT","CATEGORY SPORT")</f>
        <v>MODUŁ SPORT</v>
      </c>
      <c r="G60" s="874" t="str">
        <f>IF('Język - Language'!$B$30="Polski","MODUŁ GWIAZDY","CATEGORY STARS")</f>
        <v>MODUŁ GWIAZDY</v>
      </c>
      <c r="H60" s="874"/>
      <c r="I60" s="772" t="str">
        <f>IF('Język - Language'!$B$30="Polski","MODUŁ  MOTO, TECH, STYL ŻYCIA","CATEGORY MOTO, TECH, LIFESTYLE")</f>
        <v>MODUŁ  MOTO, TECH, STYL ŻYCIA</v>
      </c>
      <c r="J60" s="779"/>
      <c r="K60" s="236"/>
      <c r="L60" s="236"/>
      <c r="M60" s="236"/>
      <c r="N60" s="353"/>
      <c r="O60" s="480"/>
    </row>
    <row r="61" spans="1:15" s="133" customFormat="1" ht="12.75" customHeight="1">
      <c r="A61" s="353"/>
      <c r="B61" s="795" t="s">
        <v>116</v>
      </c>
      <c r="C61" s="642" t="s">
        <v>120</v>
      </c>
      <c r="D61" s="644"/>
      <c r="E61" s="240">
        <v>4500</v>
      </c>
      <c r="F61" s="241">
        <v>3500</v>
      </c>
      <c r="G61" s="862">
        <v>2500</v>
      </c>
      <c r="H61" s="855"/>
      <c r="I61" s="855">
        <v>1500</v>
      </c>
      <c r="J61" s="856"/>
      <c r="K61" s="236"/>
      <c r="L61" s="236"/>
      <c r="M61" s="236"/>
      <c r="N61" s="353"/>
      <c r="O61" s="480"/>
    </row>
    <row r="62" spans="1:15" s="133" customFormat="1" ht="12.75" customHeight="1">
      <c r="A62" s="353"/>
      <c r="B62" s="795"/>
      <c r="C62" s="577" t="s">
        <v>121</v>
      </c>
      <c r="D62" s="579"/>
      <c r="E62" s="242">
        <v>2000</v>
      </c>
      <c r="F62" s="243">
        <v>1500</v>
      </c>
      <c r="G62" s="875">
        <v>1500</v>
      </c>
      <c r="H62" s="857"/>
      <c r="I62" s="857">
        <v>1000</v>
      </c>
      <c r="J62" s="858"/>
      <c r="K62" s="236"/>
      <c r="L62" s="236"/>
      <c r="M62" s="236"/>
      <c r="N62" s="353"/>
      <c r="O62" s="480"/>
    </row>
    <row r="63" spans="1:15" s="133" customFormat="1" ht="12.75" customHeight="1">
      <c r="A63" s="353"/>
      <c r="B63" s="795"/>
      <c r="C63" s="577" t="s">
        <v>122</v>
      </c>
      <c r="D63" s="579"/>
      <c r="E63" s="242">
        <v>1500</v>
      </c>
      <c r="F63" s="243">
        <v>1300</v>
      </c>
      <c r="G63" s="875">
        <v>1000</v>
      </c>
      <c r="H63" s="857"/>
      <c r="I63" s="857">
        <v>700</v>
      </c>
      <c r="J63" s="858"/>
      <c r="K63" s="236"/>
      <c r="L63" s="236"/>
      <c r="M63" s="236"/>
      <c r="N63" s="353"/>
      <c r="O63" s="480"/>
    </row>
    <row r="64" spans="1:15" s="133" customFormat="1" ht="37.5" customHeight="1">
      <c r="A64" s="353"/>
      <c r="B64" s="795"/>
      <c r="C64" s="569" t="s">
        <v>123</v>
      </c>
      <c r="D64" s="571"/>
      <c r="E64" s="242">
        <v>1000</v>
      </c>
      <c r="F64" s="243">
        <v>700</v>
      </c>
      <c r="G64" s="875">
        <v>1000</v>
      </c>
      <c r="H64" s="857"/>
      <c r="I64" s="857">
        <v>700</v>
      </c>
      <c r="J64" s="858"/>
      <c r="K64" s="236"/>
      <c r="L64" s="236"/>
      <c r="M64" s="236"/>
      <c r="N64" s="353"/>
      <c r="O64" s="480"/>
    </row>
    <row r="65" spans="1:15" s="133" customFormat="1" ht="25.5" customHeight="1">
      <c r="A65" s="353"/>
      <c r="B65" s="795"/>
      <c r="C65" s="940" t="s">
        <v>124</v>
      </c>
      <c r="D65" s="941"/>
      <c r="E65" s="244">
        <v>700</v>
      </c>
      <c r="F65" s="245">
        <v>500</v>
      </c>
      <c r="G65" s="853">
        <v>500</v>
      </c>
      <c r="H65" s="854"/>
      <c r="I65" s="935">
        <v>500</v>
      </c>
      <c r="J65" s="936"/>
      <c r="K65" s="236"/>
      <c r="L65" s="236"/>
      <c r="M65" s="236"/>
      <c r="N65" s="353"/>
      <c r="O65" s="480"/>
    </row>
    <row r="66" spans="1:15" s="133" customFormat="1">
      <c r="A66" s="353"/>
      <c r="B66" s="353"/>
      <c r="C66" s="228" t="str">
        <f>IF('Język - Language'!$B$30="Polski","¹ wycena net-net, ceny dla 1 województwa","¹ net-net valuation, prices for 1 province")</f>
        <v>¹ wycena net-net, ceny dla 1 województwa</v>
      </c>
      <c r="D66" s="228"/>
      <c r="E66" s="496"/>
      <c r="F66" s="496"/>
      <c r="G66" s="496"/>
      <c r="H66" s="496"/>
      <c r="I66" s="496"/>
      <c r="J66" s="496"/>
      <c r="K66" s="419"/>
      <c r="L66" s="353"/>
      <c r="M66" s="353"/>
      <c r="N66" s="480"/>
    </row>
    <row r="67" spans="1:15" s="353" customFormat="1" ht="12.75" customHeight="1">
      <c r="B67" s="341"/>
      <c r="C67" s="235"/>
      <c r="D67" s="510"/>
      <c r="E67" s="510"/>
      <c r="F67" s="510"/>
      <c r="G67" s="237"/>
      <c r="H67" s="237"/>
      <c r="I67" s="236"/>
      <c r="J67" s="236"/>
      <c r="K67" s="236"/>
      <c r="M67" s="509"/>
    </row>
    <row r="68" spans="1:15" s="353" customFormat="1" ht="25.5" customHeight="1">
      <c r="B68" s="25"/>
      <c r="C68" s="868" t="s">
        <v>208</v>
      </c>
      <c r="D68" s="648"/>
      <c r="E68" s="648"/>
      <c r="F68" s="648"/>
      <c r="G68" s="648"/>
      <c r="H68" s="648"/>
      <c r="I68" s="648"/>
      <c r="J68" s="655"/>
    </row>
    <row r="69" spans="1:15" s="353" customFormat="1" ht="12.75" customHeight="1">
      <c r="B69" s="25"/>
      <c r="C69" s="517"/>
      <c r="D69" s="649" t="s">
        <v>214</v>
      </c>
      <c r="E69" s="649"/>
      <c r="F69" s="649"/>
      <c r="G69" s="648" t="s">
        <v>213</v>
      </c>
      <c r="H69" s="648"/>
      <c r="I69" s="648"/>
      <c r="J69" s="655"/>
    </row>
    <row r="70" spans="1:15" s="353" customFormat="1" ht="12.75" customHeight="1">
      <c r="B70" s="25"/>
      <c r="C70" s="319" t="s">
        <v>212</v>
      </c>
      <c r="D70" s="876" t="s">
        <v>215</v>
      </c>
      <c r="E70" s="876"/>
      <c r="F70" s="514" t="s">
        <v>225</v>
      </c>
      <c r="G70" s="877" t="s">
        <v>215</v>
      </c>
      <c r="H70" s="878"/>
      <c r="I70" s="878" t="s">
        <v>225</v>
      </c>
      <c r="J70" s="848"/>
    </row>
    <row r="71" spans="1:15" s="353" customFormat="1" ht="12.75" customHeight="1">
      <c r="B71" s="795" t="s">
        <v>116</v>
      </c>
      <c r="C71" s="518">
        <v>1</v>
      </c>
      <c r="D71" s="879" t="s">
        <v>216</v>
      </c>
      <c r="E71" s="880"/>
      <c r="F71" s="521">
        <v>12000</v>
      </c>
      <c r="G71" s="881" t="s">
        <v>220</v>
      </c>
      <c r="H71" s="882"/>
      <c r="I71" s="955">
        <v>15000</v>
      </c>
      <c r="J71" s="956"/>
    </row>
    <row r="72" spans="1:15" s="353" customFormat="1" ht="12.75" customHeight="1">
      <c r="B72" s="795"/>
      <c r="C72" s="519">
        <v>2</v>
      </c>
      <c r="D72" s="875" t="s">
        <v>217</v>
      </c>
      <c r="E72" s="857"/>
      <c r="F72" s="516">
        <v>22800</v>
      </c>
      <c r="G72" s="951" t="s">
        <v>221</v>
      </c>
      <c r="H72" s="952"/>
      <c r="I72" s="844">
        <v>28500</v>
      </c>
      <c r="J72" s="845"/>
    </row>
    <row r="73" spans="1:15" s="353" customFormat="1" ht="12.75" customHeight="1">
      <c r="B73" s="795"/>
      <c r="C73" s="520">
        <v>3</v>
      </c>
      <c r="D73" s="875" t="s">
        <v>218</v>
      </c>
      <c r="E73" s="857"/>
      <c r="F73" s="516">
        <v>32400</v>
      </c>
      <c r="G73" s="951" t="s">
        <v>222</v>
      </c>
      <c r="H73" s="952"/>
      <c r="I73" s="844">
        <v>40500</v>
      </c>
      <c r="J73" s="845"/>
    </row>
    <row r="74" spans="1:15" s="353" customFormat="1" ht="12.75" customHeight="1">
      <c r="B74" s="867"/>
      <c r="C74" s="513">
        <v>4</v>
      </c>
      <c r="D74" s="853" t="s">
        <v>219</v>
      </c>
      <c r="E74" s="854"/>
      <c r="F74" s="245">
        <v>40800</v>
      </c>
      <c r="G74" s="953" t="s">
        <v>223</v>
      </c>
      <c r="H74" s="954"/>
      <c r="I74" s="846">
        <v>51000</v>
      </c>
      <c r="J74" s="847"/>
    </row>
    <row r="75" spans="1:15" s="353" customFormat="1" ht="12.75" customHeight="1">
      <c r="B75" s="341"/>
      <c r="C75" s="235"/>
      <c r="D75" s="510"/>
      <c r="E75" s="510"/>
      <c r="F75" s="510"/>
      <c r="G75" s="237"/>
      <c r="H75" s="237"/>
      <c r="I75" s="236"/>
      <c r="J75" s="236"/>
      <c r="K75" s="236"/>
      <c r="M75" s="509"/>
    </row>
    <row r="76" spans="1:15" s="136" customFormat="1" ht="12.75" customHeight="1">
      <c r="A76" s="353"/>
      <c r="B76" s="341"/>
      <c r="C76" s="238"/>
      <c r="D76" s="484"/>
      <c r="E76" s="484"/>
      <c r="F76" s="484"/>
      <c r="G76" s="237"/>
      <c r="H76" s="237"/>
      <c r="I76" s="236"/>
      <c r="J76" s="236"/>
      <c r="K76" s="236"/>
      <c r="L76" s="353"/>
      <c r="M76" s="480"/>
      <c r="N76" s="353"/>
    </row>
    <row r="77" spans="1:15" s="136" customFormat="1" ht="25.5" customHeight="1">
      <c r="A77" s="353"/>
      <c r="B77" s="341"/>
      <c r="C77" s="648" t="str">
        <f>IF('Język - Language'!$B$30="Polski","PLOTKI SPONSOROWANE","SPONSORED GOSSIPS")</f>
        <v>PLOTKI SPONSOROWANE</v>
      </c>
      <c r="D77" s="648"/>
      <c r="E77" s="648"/>
      <c r="F77" s="648"/>
      <c r="G77" s="648"/>
      <c r="H77" s="655"/>
      <c r="I77" s="236"/>
      <c r="J77" s="236"/>
      <c r="K77" s="236"/>
      <c r="L77" s="353"/>
      <c r="M77" s="480"/>
      <c r="N77" s="353"/>
    </row>
    <row r="78" spans="1:15" s="136" customFormat="1" ht="12.75" customHeight="1">
      <c r="A78" s="353"/>
      <c r="B78" s="341"/>
      <c r="C78" s="472" t="str">
        <f>IF('Język - Language'!$B$30="Polski","MIEJSCE EMISJI","PLACE OF EMISSION")</f>
        <v>MIEJSCE EMISJI</v>
      </c>
      <c r="D78" s="648" t="str">
        <f>IF('Język - Language'!$B$30="Polski","CZAS EMISJI","TIME")</f>
        <v>CZAS EMISJI</v>
      </c>
      <c r="E78" s="648"/>
      <c r="F78" s="648"/>
      <c r="G78" s="848" t="str">
        <f>IF('Język - Language'!$B$30="Polski","CENA NET  NET","PRICE NET  NET")</f>
        <v>CENA NET  NET</v>
      </c>
      <c r="H78" s="848"/>
      <c r="I78" s="236"/>
      <c r="J78" s="236"/>
      <c r="K78" s="236"/>
      <c r="L78" s="353"/>
      <c r="M78" s="480"/>
      <c r="N78" s="353"/>
    </row>
    <row r="79" spans="1:15" s="136" customFormat="1" ht="12.75" customHeight="1">
      <c r="A79" s="353"/>
      <c r="B79" s="895" t="s">
        <v>116</v>
      </c>
      <c r="C79" s="239" t="s">
        <v>117</v>
      </c>
      <c r="D79" s="942" t="str">
        <f>IF('Język - Language'!$B$30="Polski","1 dzień","24 hours")</f>
        <v>1 dzień</v>
      </c>
      <c r="E79" s="942"/>
      <c r="F79" s="943"/>
      <c r="G79" s="937">
        <v>20000</v>
      </c>
      <c r="H79" s="938"/>
      <c r="I79" s="236"/>
      <c r="J79" s="236"/>
      <c r="K79" s="236"/>
      <c r="L79" s="353"/>
      <c r="M79" s="480"/>
      <c r="N79" s="353"/>
    </row>
    <row r="80" spans="1:15" s="136" customFormat="1" ht="12.75" customHeight="1">
      <c r="A80" s="353"/>
      <c r="B80" s="895"/>
      <c r="C80" s="223" t="s">
        <v>118</v>
      </c>
      <c r="D80" s="942"/>
      <c r="E80" s="942"/>
      <c r="F80" s="943"/>
      <c r="G80" s="870">
        <v>10000</v>
      </c>
      <c r="H80" s="871"/>
      <c r="I80" s="236"/>
      <c r="J80" s="236"/>
      <c r="K80" s="236"/>
      <c r="L80" s="353"/>
      <c r="M80" s="480"/>
      <c r="N80" s="353"/>
    </row>
    <row r="81" spans="1:14" s="136" customFormat="1" ht="12.75" customHeight="1">
      <c r="A81" s="353"/>
      <c r="B81" s="896"/>
      <c r="C81" s="224" t="s">
        <v>119</v>
      </c>
      <c r="D81" s="849"/>
      <c r="E81" s="849"/>
      <c r="F81" s="850"/>
      <c r="G81" s="851">
        <v>25000</v>
      </c>
      <c r="H81" s="852"/>
      <c r="I81" s="236"/>
      <c r="J81" s="236"/>
      <c r="K81" s="236"/>
      <c r="L81" s="353"/>
      <c r="M81" s="480"/>
      <c r="N81" s="353"/>
    </row>
    <row r="82" spans="1:14">
      <c r="A82" s="353"/>
      <c r="B82" s="353"/>
      <c r="C82" s="284"/>
      <c r="D82" s="284"/>
      <c r="E82" s="236"/>
      <c r="F82" s="236"/>
      <c r="G82" s="236"/>
      <c r="H82" s="236"/>
      <c r="I82" s="236"/>
      <c r="J82" s="236"/>
      <c r="K82" s="234"/>
      <c r="L82" s="20"/>
      <c r="M82" s="353"/>
      <c r="N82" s="480"/>
    </row>
    <row r="83" spans="1:14" s="353" customFormat="1" ht="25.5" customHeight="1">
      <c r="B83" s="341"/>
      <c r="C83" s="648" t="str">
        <f>IF('Język - Language'!$B$30="Polski","PLOTKA NATYWNA¹","NATIVE GOSSIP¹")</f>
        <v>PLOTKA NATYWNA¹</v>
      </c>
      <c r="D83" s="648"/>
      <c r="E83" s="648"/>
      <c r="F83" s="648"/>
      <c r="G83" s="648"/>
      <c r="H83" s="655"/>
      <c r="I83" s="236"/>
      <c r="J83" s="236"/>
      <c r="K83" s="236"/>
      <c r="M83" s="515"/>
    </row>
    <row r="84" spans="1:14" s="353" customFormat="1" ht="12.75" customHeight="1">
      <c r="B84" s="341"/>
      <c r="C84" s="511" t="str">
        <f>IF('Język - Language'!$B$30="Polski","MIEJSCE EMISJI","PLACE OF EMISSION")</f>
        <v>MIEJSCE EMISJI</v>
      </c>
      <c r="D84" s="648" t="str">
        <f>IF('Język - Language'!$B$30="Polski","CZAS EMISJI","TIME")</f>
        <v>CZAS EMISJI</v>
      </c>
      <c r="E84" s="648"/>
      <c r="F84" s="648"/>
      <c r="G84" s="848" t="str">
        <f>IF('Język - Language'!$B$30="Polski","CENA NET  NET","PRICE NET  NET")</f>
        <v>CENA NET  NET</v>
      </c>
      <c r="H84" s="848"/>
      <c r="I84" s="236"/>
      <c r="J84" s="236"/>
      <c r="K84" s="236"/>
      <c r="M84" s="515"/>
    </row>
    <row r="85" spans="1:14" s="353" customFormat="1" ht="38.25" customHeight="1">
      <c r="B85" s="522" t="s">
        <v>116</v>
      </c>
      <c r="C85" s="224" t="s">
        <v>117</v>
      </c>
      <c r="D85" s="849" t="s">
        <v>224</v>
      </c>
      <c r="E85" s="849"/>
      <c r="F85" s="850"/>
      <c r="G85" s="851">
        <v>25000</v>
      </c>
      <c r="H85" s="852"/>
      <c r="I85" s="236"/>
      <c r="J85" s="236"/>
      <c r="K85" s="236"/>
      <c r="M85" s="515"/>
    </row>
    <row r="86" spans="1:14" s="353" customFormat="1" ht="12.75" customHeight="1">
      <c r="B86" s="341"/>
      <c r="C86" s="228" t="str">
        <f>IF('Język - Language'!$B$30="Polski","¹ zasięg 15 000 UU","¹ reach 15 000 UU")</f>
        <v>¹ zasięg 15 000 UU</v>
      </c>
      <c r="D86" s="512"/>
      <c r="E86" s="512"/>
      <c r="F86" s="512"/>
      <c r="G86" s="237"/>
      <c r="H86" s="237"/>
      <c r="I86" s="236"/>
      <c r="J86" s="236"/>
      <c r="K86" s="236"/>
      <c r="M86" s="515"/>
    </row>
    <row r="87" spans="1:14" s="117" customFormat="1" ht="12.75" customHeight="1">
      <c r="A87" s="353"/>
      <c r="B87" s="353"/>
      <c r="C87" s="201"/>
      <c r="D87" s="201"/>
      <c r="E87" s="201"/>
      <c r="F87" s="201"/>
      <c r="G87" s="201"/>
      <c r="H87" s="201"/>
      <c r="I87" s="201"/>
      <c r="J87" s="201"/>
      <c r="K87" s="201"/>
      <c r="L87" s="353"/>
      <c r="M87" s="353"/>
      <c r="N87" s="898"/>
    </row>
    <row r="88" spans="1:14" ht="12.75" customHeight="1">
      <c r="A88" s="353"/>
      <c r="B88" s="353"/>
      <c r="C88" s="225" t="str">
        <f>IF('Język - Language'!$B$30="Polski","INFORMACJE DODATKOWE: ","FURTHER INFORMATION: ")</f>
        <v xml:space="preserve">INFORMACJE DODATKOWE: </v>
      </c>
      <c r="D88" s="225"/>
      <c r="E88" s="496"/>
      <c r="F88" s="496"/>
      <c r="G88" s="496"/>
      <c r="H88" s="496"/>
      <c r="I88" s="496"/>
      <c r="J88" s="496"/>
      <c r="K88" s="200" t="s">
        <v>63</v>
      </c>
      <c r="L88" s="353"/>
      <c r="M88" s="353"/>
      <c r="N88" s="898"/>
    </row>
    <row r="89" spans="1:14" ht="12.75" customHeight="1">
      <c r="A89" s="353"/>
      <c r="B89" s="353"/>
      <c r="C89" s="869" t="str">
        <f>IF('Język - Language'!$B$30="Polski","Artykuł sponsorowany standard – koszt obejmuje emisję tygodniową wraz z zajawką na stronie głównej serwisu, w którym dany artykuł jest umieszczony.","A standard sponsored article includes weekly editorial preview in the HP of a given site in which the article is placed.")</f>
        <v>Artykuł sponsorowany standard – koszt obejmuje emisję tygodniową wraz z zajawką na stronie głównej serwisu, w którym dany artykuł jest umieszczony.</v>
      </c>
      <c r="D89" s="869"/>
      <c r="E89" s="869"/>
      <c r="F89" s="869"/>
      <c r="G89" s="869"/>
      <c r="H89" s="869"/>
      <c r="I89" s="869"/>
      <c r="J89" s="869"/>
      <c r="K89" s="869"/>
      <c r="L89" s="353"/>
      <c r="M89" s="353"/>
      <c r="N89" s="898"/>
    </row>
    <row r="90" spans="1:14" s="154" customFormat="1" ht="13.35" customHeight="1">
      <c r="A90" s="353"/>
      <c r="B90" s="353"/>
      <c r="C90" s="869" t="str">
        <f>IF('Język - Language'!$B$30="Polski","W ramach promocji dodatkowej możliwa jest emisja zajawki w postaci linka tekstowego na Stronie Głównej portalu WP lub o2 w wybranym module tematycznym.","Optionally, you can purchase a textual link in a selected thematic category in the HP of WP or a native ad in the o2 HP.")</f>
        <v>W ramach promocji dodatkowej możliwa jest emisja zajawki w postaci linka tekstowego na Stronie Głównej portalu WP lub o2 w wybranym module tematycznym.</v>
      </c>
      <c r="D90" s="869"/>
      <c r="E90" s="869"/>
      <c r="F90" s="869"/>
      <c r="G90" s="869"/>
      <c r="H90" s="869"/>
      <c r="I90" s="869"/>
      <c r="J90" s="869"/>
      <c r="K90" s="869"/>
      <c r="L90" s="353"/>
      <c r="M90" s="353"/>
      <c r="N90" s="898"/>
    </row>
    <row r="91" spans="1:14">
      <c r="A91" s="353"/>
      <c r="B91" s="353"/>
      <c r="C91" s="419" t="str">
        <f>IF('Język - Language'!$B$30="Polski","Istnieje możliwość emisji video oraz brandingu w ramach artykułu sponsorowanego.","Addiotionally, you can add video or branding to the article. For price please contact the Advertising Office of WP.")</f>
        <v>Istnieje możliwość emisji video oraz brandingu w ramach artykułu sponsorowanego.</v>
      </c>
      <c r="D91" s="419"/>
      <c r="E91" s="496"/>
      <c r="F91" s="496"/>
      <c r="G91" s="496"/>
      <c r="H91" s="496"/>
      <c r="I91" s="496"/>
      <c r="J91" s="496"/>
      <c r="K91" s="419"/>
      <c r="L91" s="353"/>
      <c r="M91" s="353"/>
      <c r="N91" s="898"/>
    </row>
    <row r="92" spans="1:14" s="133" customFormat="1">
      <c r="A92" s="353"/>
      <c r="B92" s="353"/>
      <c r="C92" s="419"/>
      <c r="D92" s="419"/>
      <c r="E92" s="496"/>
      <c r="F92" s="496"/>
      <c r="G92" s="496"/>
      <c r="H92" s="496"/>
      <c r="I92" s="496"/>
      <c r="J92" s="496"/>
      <c r="K92" s="419"/>
      <c r="L92" s="353"/>
      <c r="M92" s="353"/>
      <c r="N92" s="898"/>
    </row>
    <row r="93" spans="1:14" s="133" customFormat="1">
      <c r="A93" s="353"/>
      <c r="B93" s="353"/>
      <c r="C93" s="225" t="str">
        <f>IF('Język - Language'!$B$30="Polski","ARTYKUŁ SPONSOROWANY - OPCJE DODATKOWE / DOPŁATY:","ADDITIONAL OPTIONS / EXTRA CHARGES:")</f>
        <v>ARTYKUŁ SPONSOROWANY - OPCJE DODATKOWE / DOPŁATY:</v>
      </c>
      <c r="D93" s="419"/>
      <c r="E93" s="496"/>
      <c r="F93" s="496"/>
      <c r="G93" s="496"/>
      <c r="H93" s="496"/>
      <c r="I93" s="496"/>
      <c r="J93" s="496"/>
      <c r="K93" s="419"/>
      <c r="L93" s="353"/>
      <c r="M93" s="353"/>
      <c r="N93" s="898"/>
    </row>
    <row r="94" spans="1:14" s="133" customFormat="1">
      <c r="A94" s="353"/>
      <c r="B94" s="353"/>
      <c r="C94" s="419" t="str">
        <f>IF('Język - Language'!$B$30="Polski","• Wydłużenie czasu emisji zajawki artykułu na sg wybranego serwisu: ","• Prolongation of emission time of the editorial preview in the HP of a site in which the article is placed:")</f>
        <v xml:space="preserve">• Wydłużenie czasu emisji zajawki artykułu na sg wybranego serwisu: </v>
      </c>
      <c r="D94" s="419"/>
      <c r="E94" s="496"/>
      <c r="F94" s="496"/>
      <c r="G94" s="496"/>
      <c r="H94" s="496"/>
      <c r="I94" s="496"/>
      <c r="J94" s="496"/>
      <c r="K94" s="419"/>
      <c r="L94" s="353"/>
      <c r="M94" s="353"/>
      <c r="N94" s="898"/>
    </row>
    <row r="95" spans="1:14" s="133" customFormat="1">
      <c r="A95" s="353"/>
      <c r="B95" s="353"/>
      <c r="C95" s="226" t="str">
        <f>IF('Język - Language'!$B$30="Polski","2 tyg.: cena + 70%","2 weeks: price + 70%")</f>
        <v>2 tyg.: cena + 70%</v>
      </c>
      <c r="D95" s="419"/>
      <c r="E95" s="496"/>
      <c r="F95" s="496"/>
      <c r="G95" s="496"/>
      <c r="H95" s="496"/>
      <c r="I95" s="496"/>
      <c r="J95" s="496"/>
      <c r="K95" s="419"/>
      <c r="L95" s="353"/>
      <c r="M95" s="353"/>
      <c r="N95" s="898"/>
    </row>
    <row r="96" spans="1:14" s="133" customFormat="1">
      <c r="A96" s="353"/>
      <c r="B96" s="353"/>
      <c r="C96" s="226" t="str">
        <f>IF('Język - Language'!$B$30="Polski","3 tyg.: cena + 150%","3 weeks: price + 150%")</f>
        <v>3 tyg.: cena + 150%</v>
      </c>
      <c r="D96" s="419"/>
      <c r="E96" s="496"/>
      <c r="F96" s="496"/>
      <c r="G96" s="496"/>
      <c r="H96" s="496"/>
      <c r="I96" s="496"/>
      <c r="J96" s="496"/>
      <c r="K96" s="419"/>
      <c r="L96" s="353"/>
      <c r="M96" s="353"/>
      <c r="N96" s="898"/>
    </row>
    <row r="97" spans="1:14" s="133" customFormat="1">
      <c r="A97" s="353"/>
      <c r="B97" s="353"/>
      <c r="C97" s="226" t="str">
        <f>IF('Język - Language'!$B$30="Polski","4 tyg.: cena + 200%","4 weeks: price + 200%")</f>
        <v>4 tyg.: cena + 200%</v>
      </c>
      <c r="D97" s="419"/>
      <c r="E97" s="496"/>
      <c r="F97" s="496"/>
      <c r="G97" s="496"/>
      <c r="H97" s="496"/>
      <c r="I97" s="496"/>
      <c r="J97" s="496"/>
      <c r="K97" s="419"/>
      <c r="L97" s="353"/>
      <c r="M97" s="353"/>
      <c r="N97" s="898"/>
    </row>
    <row r="98" spans="1:14" s="133" customFormat="1">
      <c r="A98" s="353"/>
      <c r="B98" s="353"/>
      <c r="C98" s="227" t="str">
        <f>IF('Język - Language'!$B$30="Polski","• Branding + 10% do ceny artykułu ","• Branding + 10% to the price of the article")</f>
        <v xml:space="preserve">• Branding + 10% do ceny artykułu </v>
      </c>
      <c r="D98" s="419"/>
      <c r="E98" s="496"/>
      <c r="F98" s="496"/>
      <c r="G98" s="496"/>
      <c r="H98" s="496"/>
      <c r="I98" s="496"/>
      <c r="J98" s="496"/>
      <c r="K98" s="419"/>
      <c r="L98" s="353"/>
      <c r="M98" s="353"/>
      <c r="N98" s="898"/>
    </row>
    <row r="99" spans="1:14" s="133" customFormat="1">
      <c r="A99" s="353"/>
      <c r="B99" s="353"/>
      <c r="C99" s="227" t="str">
        <f>IF('Język - Language'!$B$30="Polski","• Multimedia + 10% do ceny artykułu","• Multimedia + 10% to the price of the article")</f>
        <v>• Multimedia + 10% do ceny artykułu</v>
      </c>
      <c r="D99" s="419"/>
      <c r="E99" s="496"/>
      <c r="F99" s="496"/>
      <c r="G99" s="496"/>
      <c r="H99" s="496"/>
      <c r="I99" s="496"/>
      <c r="J99" s="496"/>
      <c r="K99" s="419"/>
      <c r="L99" s="353"/>
      <c r="M99" s="353"/>
      <c r="N99" s="898"/>
    </row>
    <row r="100" spans="1:14" s="133" customFormat="1">
      <c r="A100" s="353"/>
      <c r="B100" s="353"/>
      <c r="C100" s="227" t="str">
        <f>IF('Język - Language'!$B$30="Polski","• Link tekstowy do artykułu na SG WP:","• Textual link to the article in the HP of WP:")</f>
        <v>• Link tekstowy do artykułu na SG WP:</v>
      </c>
      <c r="D100" s="419"/>
      <c r="E100" s="496"/>
      <c r="F100" s="496"/>
      <c r="G100" s="496"/>
      <c r="H100" s="496"/>
      <c r="I100" s="496"/>
      <c r="J100" s="496"/>
      <c r="K100" s="419"/>
      <c r="L100" s="353"/>
      <c r="M100" s="353"/>
      <c r="N100" s="898"/>
    </row>
    <row r="101" spans="1:14" s="133" customFormat="1">
      <c r="A101" s="353"/>
      <c r="B101" s="353"/>
      <c r="C101" s="226" t="str">
        <f>IF('Język - Language'!$B$30="Polski","moduł Wiadomości 25 000 zł RC / dzień","category News 25 000 zł RC / day")</f>
        <v>moduł Wiadomości 25 000 zł RC / dzień</v>
      </c>
      <c r="D101" s="419"/>
      <c r="E101" s="496"/>
      <c r="F101" s="496"/>
      <c r="G101" s="496"/>
      <c r="H101" s="496"/>
      <c r="I101" s="496"/>
      <c r="J101" s="496"/>
      <c r="K101" s="419"/>
      <c r="L101" s="353"/>
      <c r="M101" s="353"/>
      <c r="N101" s="898"/>
    </row>
    <row r="102" spans="1:14" s="133" customFormat="1">
      <c r="A102" s="353"/>
      <c r="B102" s="353"/>
      <c r="C102" s="226" t="str">
        <f>IF('Język - Language'!$B$30="Polski","moduł Sport 20 000 zł RC / dzień","category News 20 000 zł RC / day")</f>
        <v>moduł Sport 20 000 zł RC / dzień</v>
      </c>
      <c r="D102" s="419"/>
      <c r="E102" s="496"/>
      <c r="F102" s="496"/>
      <c r="G102" s="496"/>
      <c r="H102" s="496"/>
      <c r="I102" s="496"/>
      <c r="J102" s="496"/>
      <c r="K102" s="419"/>
      <c r="L102" s="353"/>
      <c r="M102" s="353"/>
      <c r="N102" s="898"/>
    </row>
    <row r="103" spans="1:14" s="283" customFormat="1">
      <c r="A103" s="353"/>
      <c r="B103" s="353"/>
      <c r="C103" s="226" t="str">
        <f>IF('Język - Language'!$B$30="Polski","moduł Biznes 17 000 zł RC / dzień","category Business 17 000 zł RC / day")</f>
        <v>moduł Biznes 17 000 zł RC / dzień</v>
      </c>
      <c r="D103" s="419"/>
      <c r="E103" s="496"/>
      <c r="F103" s="496"/>
      <c r="G103" s="496"/>
      <c r="H103" s="496"/>
      <c r="I103" s="496"/>
      <c r="J103" s="496"/>
      <c r="K103" s="419"/>
      <c r="L103" s="353"/>
      <c r="M103" s="353"/>
      <c r="N103" s="898"/>
    </row>
    <row r="104" spans="1:14">
      <c r="A104" s="353"/>
      <c r="B104" s="353"/>
      <c r="C104" s="419"/>
      <c r="D104" s="419"/>
      <c r="E104" s="496"/>
      <c r="F104" s="496"/>
      <c r="G104" s="496"/>
      <c r="H104" s="496"/>
      <c r="I104" s="496"/>
      <c r="J104" s="496"/>
      <c r="K104" s="419"/>
      <c r="L104" s="353"/>
      <c r="M104" s="353"/>
      <c r="N104" s="898"/>
    </row>
    <row r="105" spans="1:14" s="133" customFormat="1">
      <c r="A105" s="353"/>
      <c r="B105" s="353"/>
      <c r="C105" s="228"/>
      <c r="D105" s="228"/>
      <c r="E105" s="496"/>
      <c r="F105" s="496"/>
      <c r="G105" s="496"/>
      <c r="H105" s="496"/>
      <c r="I105" s="496"/>
      <c r="J105" s="496"/>
      <c r="K105" s="419"/>
      <c r="L105" s="353"/>
      <c r="M105" s="353"/>
      <c r="N105" s="480"/>
    </row>
    <row r="106" spans="1:14" s="133" customFormat="1" ht="12.75" customHeight="1">
      <c r="A106" s="353"/>
      <c r="B106" s="341"/>
      <c r="C106" s="238"/>
      <c r="D106" s="484"/>
      <c r="E106" s="484"/>
      <c r="F106" s="484"/>
      <c r="G106" s="237"/>
      <c r="H106" s="237"/>
      <c r="I106" s="236"/>
      <c r="J106" s="236"/>
      <c r="K106" s="236"/>
      <c r="L106" s="353"/>
      <c r="M106" s="480"/>
      <c r="N106" s="353"/>
    </row>
    <row r="107" spans="1:14" s="133" customFormat="1">
      <c r="A107" s="353"/>
      <c r="B107" s="353"/>
      <c r="C107" s="228"/>
      <c r="D107" s="228"/>
      <c r="E107" s="496"/>
      <c r="F107" s="496"/>
      <c r="G107" s="496"/>
      <c r="H107" s="496"/>
      <c r="I107" s="496"/>
      <c r="J107" s="496"/>
      <c r="K107" s="419"/>
      <c r="L107" s="353"/>
      <c r="M107" s="353"/>
      <c r="N107" s="480"/>
    </row>
  </sheetData>
  <mergeCells count="148">
    <mergeCell ref="K47:N47"/>
    <mergeCell ref="K48:N54"/>
    <mergeCell ref="C46:N46"/>
    <mergeCell ref="B71:B74"/>
    <mergeCell ref="D52:F52"/>
    <mergeCell ref="D53:F53"/>
    <mergeCell ref="G72:H72"/>
    <mergeCell ref="G73:H73"/>
    <mergeCell ref="G74:H74"/>
    <mergeCell ref="I71:J71"/>
    <mergeCell ref="B11:B19"/>
    <mergeCell ref="D19:E19"/>
    <mergeCell ref="G11:H11"/>
    <mergeCell ref="G12:H12"/>
    <mergeCell ref="G13:H13"/>
    <mergeCell ref="D18:E18"/>
    <mergeCell ref="I13:J13"/>
    <mergeCell ref="G10:H10"/>
    <mergeCell ref="K10:L10"/>
    <mergeCell ref="K11:L18"/>
    <mergeCell ref="G15:H15"/>
    <mergeCell ref="G16:H16"/>
    <mergeCell ref="G17:H17"/>
    <mergeCell ref="G18:H18"/>
    <mergeCell ref="I15:J15"/>
    <mergeCell ref="I16:J16"/>
    <mergeCell ref="I17:J17"/>
    <mergeCell ref="I18:J18"/>
    <mergeCell ref="I19:J19"/>
    <mergeCell ref="K19:L19"/>
    <mergeCell ref="G19:H19"/>
    <mergeCell ref="I10:J10"/>
    <mergeCell ref="I11:J11"/>
    <mergeCell ref="I12:J12"/>
    <mergeCell ref="B79:B81"/>
    <mergeCell ref="D33:F33"/>
    <mergeCell ref="D27:F27"/>
    <mergeCell ref="B27:B38"/>
    <mergeCell ref="N87:N104"/>
    <mergeCell ref="D31:F31"/>
    <mergeCell ref="D48:F48"/>
    <mergeCell ref="D50:F50"/>
    <mergeCell ref="G78:H78"/>
    <mergeCell ref="D35:F35"/>
    <mergeCell ref="D30:F30"/>
    <mergeCell ref="I63:J63"/>
    <mergeCell ref="I64:J64"/>
    <mergeCell ref="I65:J65"/>
    <mergeCell ref="G47:J47"/>
    <mergeCell ref="G79:H79"/>
    <mergeCell ref="D78:F78"/>
    <mergeCell ref="D51:F51"/>
    <mergeCell ref="D49:F49"/>
    <mergeCell ref="C77:H77"/>
    <mergeCell ref="D47:F47"/>
    <mergeCell ref="C90:K90"/>
    <mergeCell ref="C65:D65"/>
    <mergeCell ref="D79:F81"/>
    <mergeCell ref="J1:P3"/>
    <mergeCell ref="B61:B65"/>
    <mergeCell ref="G25:P25"/>
    <mergeCell ref="D28:F28"/>
    <mergeCell ref="D36:F36"/>
    <mergeCell ref="D34:F34"/>
    <mergeCell ref="D32:F32"/>
    <mergeCell ref="D54:F54"/>
    <mergeCell ref="D38:F38"/>
    <mergeCell ref="O21:P22"/>
    <mergeCell ref="O23:P24"/>
    <mergeCell ref="I21:J21"/>
    <mergeCell ref="D7:E10"/>
    <mergeCell ref="M23:N24"/>
    <mergeCell ref="C7:C10"/>
    <mergeCell ref="G7:H7"/>
    <mergeCell ref="D11:E11"/>
    <mergeCell ref="D16:E16"/>
    <mergeCell ref="G14:H14"/>
    <mergeCell ref="D17:E17"/>
    <mergeCell ref="C21:C26"/>
    <mergeCell ref="C11:C19"/>
    <mergeCell ref="G9:N9"/>
    <mergeCell ref="G8:J8"/>
    <mergeCell ref="D12:E12"/>
    <mergeCell ref="D13:E13"/>
    <mergeCell ref="D14:E14"/>
    <mergeCell ref="D15:E15"/>
    <mergeCell ref="M19:N19"/>
    <mergeCell ref="I7:J7"/>
    <mergeCell ref="K8:N8"/>
    <mergeCell ref="K23:L24"/>
    <mergeCell ref="D37:F37"/>
    <mergeCell ref="G29:P29"/>
    <mergeCell ref="D29:F29"/>
    <mergeCell ref="M10:N10"/>
    <mergeCell ref="I14:J14"/>
    <mergeCell ref="I23:J23"/>
    <mergeCell ref="I24:J24"/>
    <mergeCell ref="M21:N22"/>
    <mergeCell ref="I22:J22"/>
    <mergeCell ref="F7:F10"/>
    <mergeCell ref="M11:N18"/>
    <mergeCell ref="K21:L22"/>
    <mergeCell ref="G23:H24"/>
    <mergeCell ref="G21:H22"/>
    <mergeCell ref="D21:F26"/>
    <mergeCell ref="C89:K89"/>
    <mergeCell ref="G80:H80"/>
    <mergeCell ref="C63:D63"/>
    <mergeCell ref="C64:D64"/>
    <mergeCell ref="C61:D61"/>
    <mergeCell ref="C59:C60"/>
    <mergeCell ref="E59:F59"/>
    <mergeCell ref="G59:J59"/>
    <mergeCell ref="G60:H60"/>
    <mergeCell ref="I60:J60"/>
    <mergeCell ref="G61:H61"/>
    <mergeCell ref="G62:H62"/>
    <mergeCell ref="G63:H63"/>
    <mergeCell ref="G64:H64"/>
    <mergeCell ref="D70:E70"/>
    <mergeCell ref="G70:H70"/>
    <mergeCell ref="I70:J70"/>
    <mergeCell ref="D71:E71"/>
    <mergeCell ref="D72:E72"/>
    <mergeCell ref="D73:E73"/>
    <mergeCell ref="D74:E74"/>
    <mergeCell ref="G71:H71"/>
    <mergeCell ref="C62:D62"/>
    <mergeCell ref="I61:J61"/>
    <mergeCell ref="I62:J62"/>
    <mergeCell ref="G48:J54"/>
    <mergeCell ref="D55:F55"/>
    <mergeCell ref="G55:J55"/>
    <mergeCell ref="K55:N55"/>
    <mergeCell ref="B48:B55"/>
    <mergeCell ref="C68:J68"/>
    <mergeCell ref="D69:F69"/>
    <mergeCell ref="G69:J69"/>
    <mergeCell ref="I72:J72"/>
    <mergeCell ref="I73:J73"/>
    <mergeCell ref="I74:J74"/>
    <mergeCell ref="C83:H83"/>
    <mergeCell ref="D84:F84"/>
    <mergeCell ref="G84:H84"/>
    <mergeCell ref="D85:F85"/>
    <mergeCell ref="G85:H85"/>
    <mergeCell ref="G65:H65"/>
    <mergeCell ref="G81:H81"/>
  </mergeCells>
  <pageMargins left="0.7" right="0.7" top="0.75" bottom="0.75" header="0.3" footer="0.3"/>
  <pageSetup paperSize="256" scale="55" fitToHeight="0" orientation="landscape" r:id="rId1"/>
  <ignoredErrors>
    <ignoredError sqref="H26:I26 J26:K26 L26:O26 G10 I10 K10"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pageSetUpPr fitToPage="1"/>
  </sheetPr>
  <dimension ref="A1:L108"/>
  <sheetViews>
    <sheetView zoomScaleNormal="100" workbookViewId="0">
      <pane ySplit="4" topLeftCell="A5" activePane="bottomLeft" state="frozen"/>
      <selection activeCell="N1" sqref="N1:S3"/>
      <selection pane="bottomLeft"/>
    </sheetView>
  </sheetViews>
  <sheetFormatPr defaultColWidth="15.42578125" defaultRowHeight="12.75"/>
  <cols>
    <col min="1" max="1" width="2.85546875" style="353" customWidth="1"/>
    <col min="2" max="2" width="2.85546875" style="2" customWidth="1"/>
    <col min="3" max="3" width="25.7109375" style="2" customWidth="1"/>
    <col min="4" max="4" width="35" style="2" customWidth="1"/>
    <col min="5" max="5" width="14.42578125" style="56" customWidth="1"/>
    <col min="6" max="6" width="9.42578125" style="2" customWidth="1"/>
    <col min="7" max="7" width="14.42578125" style="2" customWidth="1"/>
    <col min="8" max="9" width="14.42578125" style="52" customWidth="1"/>
    <col min="10" max="10" width="2.85546875" style="2" customWidth="1"/>
    <col min="11" max="12" width="18.5703125" style="2" customWidth="1"/>
    <col min="13" max="16384" width="15.42578125" style="2"/>
  </cols>
  <sheetData>
    <row r="1" spans="1:12" ht="12.75" customHeight="1">
      <c r="B1" s="353"/>
      <c r="C1" s="353"/>
      <c r="D1" s="353"/>
      <c r="E1" s="353"/>
      <c r="F1" s="355"/>
      <c r="G1" s="355"/>
      <c r="H1" s="523"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I1" s="523"/>
      <c r="J1" s="523"/>
      <c r="K1" s="523"/>
      <c r="L1" s="523"/>
    </row>
    <row r="2" spans="1:12" ht="12.75" customHeight="1">
      <c r="B2" s="353"/>
      <c r="C2" s="353"/>
      <c r="D2" s="433"/>
      <c r="E2" s="355"/>
      <c r="F2" s="355"/>
      <c r="G2" s="355"/>
      <c r="H2" s="523"/>
      <c r="I2" s="523"/>
      <c r="J2" s="523"/>
      <c r="K2" s="523"/>
      <c r="L2" s="523"/>
    </row>
    <row r="3" spans="1:12" ht="12.75" customHeight="1">
      <c r="B3" s="353"/>
      <c r="C3" s="353"/>
      <c r="D3" s="433"/>
      <c r="E3" s="355"/>
      <c r="F3" s="355"/>
      <c r="G3" s="355"/>
      <c r="H3" s="523"/>
      <c r="I3" s="523"/>
      <c r="J3" s="523"/>
      <c r="K3" s="523"/>
      <c r="L3" s="523"/>
    </row>
    <row r="4" spans="1:12" s="35" customFormat="1" ht="12.75" customHeight="1">
      <c r="A4" s="356"/>
      <c r="B4" s="356"/>
      <c r="C4" s="36" t="str">
        <f>IF('Język - Language'!$B$30="Polski","            Oferta Wideo","             Video")</f>
        <v xml:space="preserve">            Oferta Wideo</v>
      </c>
      <c r="D4" s="356"/>
      <c r="E4" s="356"/>
      <c r="F4" s="356"/>
      <c r="G4" s="356"/>
      <c r="H4" s="356"/>
      <c r="I4" s="356"/>
      <c r="J4" s="356"/>
      <c r="K4" s="356"/>
      <c r="L4" s="340" t="str">
        <f>IF('Język - Language'!$B$30="Polski","PL","EN")</f>
        <v>PL</v>
      </c>
    </row>
    <row r="5" spans="1:12" ht="12.75" customHeight="1">
      <c r="B5" s="353"/>
      <c r="C5" s="353"/>
      <c r="D5" s="353"/>
      <c r="E5" s="353"/>
      <c r="F5" s="353"/>
      <c r="G5" s="353"/>
      <c r="H5" s="353"/>
      <c r="I5" s="353"/>
      <c r="J5" s="353"/>
      <c r="K5" s="353"/>
      <c r="L5" s="353"/>
    </row>
    <row r="6" spans="1:12" s="97" customFormat="1" ht="12.75" customHeight="1">
      <c r="A6" s="353"/>
      <c r="B6" s="353"/>
      <c r="C6" s="353"/>
      <c r="D6" s="353"/>
      <c r="E6" s="353"/>
      <c r="F6" s="353"/>
      <c r="G6" s="353"/>
      <c r="H6" s="353"/>
      <c r="I6" s="353"/>
      <c r="J6" s="353"/>
      <c r="K6" s="353"/>
      <c r="L6" s="353"/>
    </row>
    <row r="7" spans="1:12" ht="25.5" customHeight="1">
      <c r="B7" s="341"/>
      <c r="C7" s="957" t="str">
        <f>IF('Język - Language'!$B$30="Polski","PAKIET","PACKAGE")</f>
        <v>PAKIET</v>
      </c>
      <c r="D7" s="970" t="str">
        <f>IF('Język - Language'!$B$30="Polski","MIEJSCE EMISJI","PLACE OF EMISSION")</f>
        <v>MIEJSCE EMISJI</v>
      </c>
      <c r="E7" s="286" t="str">
        <f>IF('Język - Language'!$B$30="Polski","Instream Audio Ad OPEN.FM","INSTREAM AUDIO AD OPEN.FM")</f>
        <v>Instream Audio Ad OPEN.FM</v>
      </c>
      <c r="F7" s="973" t="str">
        <f>IF('Język - Language'!$B$30="Polski","Instream Video Ad CPM, Instream Video SkipAd CPM","INSTREAM VIDEO AD CPM, PREROLL SKIPAD CPM")</f>
        <v>Instream Video Ad CPM, Instream Video SkipAd CPM</v>
      </c>
      <c r="G7" s="974"/>
      <c r="H7" s="960" t="str">
        <f>IF('Język - Language'!$B$30="Polski","DISPLAY","DISPLAY")</f>
        <v>DISPLAY</v>
      </c>
      <c r="I7" s="961"/>
      <c r="J7" s="419"/>
      <c r="K7" s="965" t="str">
        <f>IF('Język - Language'!$B$30="Polski","Instream Video Ad CPV (CENY NET NET)","PREROLL CPV (PRICES NET NET)")</f>
        <v>Instream Video Ad CPV (CENY NET NET)</v>
      </c>
      <c r="L7" s="966"/>
    </row>
    <row r="8" spans="1:12" s="283" customFormat="1" ht="25.5" customHeight="1">
      <c r="A8" s="353"/>
      <c r="B8" s="341"/>
      <c r="C8" s="958"/>
      <c r="D8" s="971"/>
      <c r="E8" s="973" t="s">
        <v>125</v>
      </c>
      <c r="F8" s="974"/>
      <c r="G8" s="974"/>
      <c r="H8" s="359"/>
      <c r="I8" s="488"/>
      <c r="J8" s="419"/>
      <c r="K8" s="965" t="s">
        <v>126</v>
      </c>
      <c r="L8" s="966"/>
    </row>
    <row r="9" spans="1:12" ht="25.5" customHeight="1">
      <c r="B9" s="341"/>
      <c r="C9" s="959"/>
      <c r="D9" s="972"/>
      <c r="E9" s="313" t="s">
        <v>127</v>
      </c>
      <c r="F9" s="314" t="s">
        <v>128</v>
      </c>
      <c r="G9" s="312" t="str">
        <f>IF('Język - Language'!$B$30="Polski",CONCATENATE("30",CHAR(34)," i dłuższy⁴"),CONCATENATE("30",CHAR(34)," or longer⁴"))</f>
        <v>30" i dłuższy⁴</v>
      </c>
      <c r="H9" s="312" t="str">
        <f>IF('Język - Language'!$B$30="Polski","BOTTOM LAYER","BOTTOM LAYER")</f>
        <v>BOTTOM LAYER</v>
      </c>
      <c r="I9" s="312" t="str">
        <f>IF('Język - Language'!$B$30="Polski","ADFRAME","ADFRAME")</f>
        <v>ADFRAME</v>
      </c>
      <c r="J9" s="419"/>
      <c r="K9" s="287" t="s">
        <v>128</v>
      </c>
      <c r="L9" s="288" t="s">
        <v>129</v>
      </c>
    </row>
    <row r="10" spans="1:12" ht="36" customHeight="1">
      <c r="B10" s="897" t="s">
        <v>110</v>
      </c>
      <c r="C10" s="385" t="s">
        <v>130</v>
      </c>
      <c r="D10" s="369" t="str">
        <f>IF('Język - Language'!$B$30="Polski","WPM Zasięg (bez stron głównych o2 i WP oraz bez serwisów pocztowych)","WPM Reach (without o2 HP, WP HP and e-mail services)")</f>
        <v>WPM Zasięg (bez stron głównych o2 i WP oraz bez serwisów pocztowych)</v>
      </c>
      <c r="E10" s="975" t="s">
        <v>94</v>
      </c>
      <c r="F10" s="373">
        <v>80</v>
      </c>
      <c r="G10" s="373">
        <v>120</v>
      </c>
      <c r="H10" s="373">
        <v>10</v>
      </c>
      <c r="I10" s="962" t="s">
        <v>131</v>
      </c>
      <c r="J10" s="419"/>
      <c r="K10" s="289">
        <v>0.05</v>
      </c>
      <c r="L10" s="289">
        <v>0.08</v>
      </c>
    </row>
    <row r="11" spans="1:12" s="353" customFormat="1" ht="36" customHeight="1">
      <c r="B11" s="897"/>
      <c r="C11" s="386" t="str">
        <f>IF('Język - Language'!$B$30="Polski","WYBRANY KANAŁ / SERWIS","SELECTED CHANNEL / SERVICE")</f>
        <v>WYBRANY KANAŁ / SERWIS</v>
      </c>
      <c r="D11" s="370"/>
      <c r="E11" s="976"/>
      <c r="F11" s="256">
        <v>130</v>
      </c>
      <c r="G11" s="256">
        <v>195</v>
      </c>
      <c r="H11" s="256">
        <v>16</v>
      </c>
      <c r="I11" s="962"/>
      <c r="J11" s="419"/>
      <c r="K11" s="289">
        <v>7.4999999999999997E-2</v>
      </c>
      <c r="L11" s="289">
        <v>0.12</v>
      </c>
    </row>
    <row r="12" spans="1:12" s="283" customFormat="1" ht="36" customHeight="1">
      <c r="A12" s="353"/>
      <c r="B12" s="897"/>
      <c r="C12" s="317" t="str">
        <f>IF('Język - Language'!$B$30="Polski","BIZNES","BUSINESS")</f>
        <v>BIZNES</v>
      </c>
      <c r="D12" s="478" t="str">
        <f>IF('Język - Language'!$B$30="Polski","WP Finanse, Portal Money.pl","WP Finanse, Money.pl + sites in the domain money.pl")</f>
        <v>WP Finanse, Portal Money.pl</v>
      </c>
      <c r="E12" s="976"/>
      <c r="F12" s="256">
        <v>120</v>
      </c>
      <c r="G12" s="256">
        <v>180</v>
      </c>
      <c r="H12" s="256">
        <v>15</v>
      </c>
      <c r="I12" s="962"/>
      <c r="J12" s="419"/>
      <c r="K12" s="375">
        <v>0.1</v>
      </c>
      <c r="L12" s="375">
        <v>0.16</v>
      </c>
    </row>
    <row r="13" spans="1:12" s="283" customFormat="1" ht="42" customHeight="1">
      <c r="A13" s="353"/>
      <c r="B13" s="897"/>
      <c r="C13" s="315" t="str">
        <f>IF('Język - Language'!$B$30="Polski","INFO I SPORT","INFO AND SPORT")</f>
        <v>INFO I SPORT</v>
      </c>
      <c r="D13" s="478" t="str">
        <f>IF('Język - Language'!$B$30="Polski","WPWiadomości, WP Opinie, WP Pogoda, WP SportoweFakty, Wawalove","WP Wiadomości, WP Opinie, WP Pogoda, WP Sportowefakty, Wawalove")</f>
        <v>WPWiadomości, WP Opinie, WP Pogoda, WP SportoweFakty, Wawalove</v>
      </c>
      <c r="E13" s="976"/>
      <c r="F13" s="256">
        <v>100</v>
      </c>
      <c r="G13" s="256">
        <v>150</v>
      </c>
      <c r="H13" s="255">
        <v>14</v>
      </c>
      <c r="I13" s="962"/>
      <c r="J13" s="419"/>
      <c r="K13" s="376">
        <v>6.5000000000000002E-2</v>
      </c>
      <c r="L13" s="376">
        <v>0.10400000000000001</v>
      </c>
    </row>
    <row r="14" spans="1:12" s="283" customFormat="1" ht="36" customHeight="1">
      <c r="A14" s="353"/>
      <c r="B14" s="897"/>
      <c r="C14" s="317" t="str">
        <f>IF('Język - Language'!$B$30="Polski","MOTORYZACJA","AUTOMOTIVE")</f>
        <v>MOTORYZACJA</v>
      </c>
      <c r="D14" s="478" t="str">
        <f>IF('Język - Language'!$B$30="Polski","WP Autokult, WP Moto","WP Autokult, WP Moto")</f>
        <v>WP Autokult, WP Moto</v>
      </c>
      <c r="E14" s="976"/>
      <c r="F14" s="256">
        <v>100</v>
      </c>
      <c r="G14" s="256">
        <v>150</v>
      </c>
      <c r="H14" s="255">
        <v>14</v>
      </c>
      <c r="I14" s="962"/>
      <c r="J14" s="419"/>
      <c r="K14" s="375">
        <v>6.5000000000000002E-2</v>
      </c>
      <c r="L14" s="375">
        <v>0.10400000000000001</v>
      </c>
    </row>
    <row r="15" spans="1:12" ht="42" customHeight="1">
      <c r="B15" s="897"/>
      <c r="C15" s="315" t="str">
        <f>IF('Język - Language'!$B$30="Polski","ROZRYWKA","FUN")</f>
        <v>ROZRYWKA</v>
      </c>
      <c r="D15" s="478" t="str">
        <f>IF('Język - Language'!$B$30="Polski","WP Film, WP Gwiazdy, WP Książki, WP Pilot, WP Program TV, WP Teleshow, WP Wideo, Pudelek, o2 serwisy, o2 warstwy, OpenFM","WP Film, WP Gwiazdy, WP Książki, WP Pilot, WP Program TV, WP Teleshow, WP Video, Pudelek, o2 pages, o2 layers, OpenFM")</f>
        <v>WP Film, WP Gwiazdy, WP Książki, WP Pilot, WP Program TV, WP Teleshow, WP Wideo, Pudelek, o2 serwisy, o2 warstwy, OpenFM</v>
      </c>
      <c r="E15" s="976"/>
      <c r="F15" s="256">
        <v>90</v>
      </c>
      <c r="G15" s="256">
        <v>135</v>
      </c>
      <c r="H15" s="255">
        <v>12</v>
      </c>
      <c r="I15" s="963"/>
      <c r="J15" s="419"/>
      <c r="K15" s="375">
        <v>5.5000000000000007E-2</v>
      </c>
      <c r="L15" s="375">
        <v>8.8000000000000023E-2</v>
      </c>
    </row>
    <row r="16" spans="1:12" ht="36" customHeight="1">
      <c r="B16" s="897"/>
      <c r="C16" s="317" t="str">
        <f>IF('Język - Language'!$B$30="Polski","STYL ŻYCIA","LIFESTYLE")</f>
        <v>STYL ŻYCIA</v>
      </c>
      <c r="D16" s="478" t="str">
        <f>IF('Język - Language'!$B$30="Polski","WP Facet, WP Kobieta, Kafeteria.pl, WP Kuchnia, WP Turystyka","WP Facet, WP Kobieta, Kafeteria.pl, WP Kuchnia, WP Turystyka")</f>
        <v>WP Facet, WP Kobieta, Kafeteria.pl, WP Kuchnia, WP Turystyka</v>
      </c>
      <c r="E16" s="976"/>
      <c r="F16" s="256">
        <v>100</v>
      </c>
      <c r="G16" s="256">
        <v>150</v>
      </c>
      <c r="H16" s="255">
        <v>14</v>
      </c>
      <c r="I16" s="964"/>
      <c r="J16" s="419"/>
      <c r="K16" s="375">
        <v>6.5000000000000002E-2</v>
      </c>
      <c r="L16" s="375">
        <v>0.10400000000000001</v>
      </c>
    </row>
    <row r="17" spans="1:12" ht="42" customHeight="1">
      <c r="B17" s="897"/>
      <c r="C17" s="317" t="str">
        <f>IF('Język - Language'!$B$30="Polski","TECHNOLOGIA","TECHNOLOGY")</f>
        <v>TECHNOLOGIA</v>
      </c>
      <c r="D17" s="478" t="str">
        <f>IF('Język - Language'!$B$30="Polski","WP Tech, WP Gry, WP Fotoblogia, WP Gadżetomania, WP Komórkomania, dobreprogramy.pl","WP Tech, WP Gry, WP Fotoblogia, WP Gadżetomania, WP Komórkomania, dobreprogramy.pl")</f>
        <v>WP Tech, WP Gry, WP Fotoblogia, WP Gadżetomania, WP Komórkomania, dobreprogramy.pl</v>
      </c>
      <c r="E17" s="976"/>
      <c r="F17" s="367">
        <v>100</v>
      </c>
      <c r="G17" s="367">
        <v>150</v>
      </c>
      <c r="H17" s="255">
        <v>14</v>
      </c>
      <c r="I17" s="374" t="s">
        <v>94</v>
      </c>
      <c r="J17" s="419"/>
      <c r="K17" s="375">
        <v>6.5000000000000002E-2</v>
      </c>
      <c r="L17" s="375">
        <v>0.10400000000000001</v>
      </c>
    </row>
    <row r="18" spans="1:12" s="50" customFormat="1" ht="36" customHeight="1">
      <c r="A18" s="353"/>
      <c r="B18" s="897"/>
      <c r="C18" s="317" t="str">
        <f>IF('Język - Language'!$B$30="Polski","ZDROWIE I PARENTING","HEALTH AND PARENTING")</f>
        <v>ZDROWIE I PARENTING</v>
      </c>
      <c r="D18" s="478" t="str">
        <f>IF('Język - Language'!$B$30="Polski","WP abcZdrowie, WP Fitness, WP Jejswiat, WP Parenting, Medycyna24, Nerwica.com","WP abcZdrowie, WP Fitness, WP Jejswiat, WP Parenting, Medycyna24, Nerwica.com")</f>
        <v>WP abcZdrowie, WP Fitness, WP Jejswiat, WP Parenting, Medycyna24, Nerwica.com</v>
      </c>
      <c r="E18" s="977"/>
      <c r="F18" s="256">
        <v>180</v>
      </c>
      <c r="G18" s="256">
        <v>240</v>
      </c>
      <c r="H18" s="255">
        <v>17</v>
      </c>
      <c r="I18" s="962" t="s">
        <v>131</v>
      </c>
      <c r="J18" s="419"/>
      <c r="K18" s="375">
        <v>0.1</v>
      </c>
      <c r="L18" s="375">
        <v>0.16000000000000003</v>
      </c>
    </row>
    <row r="19" spans="1:12" s="353" customFormat="1" ht="36" customHeight="1">
      <c r="B19" s="897"/>
      <c r="C19" s="317" t="str">
        <f>IF('Język - Language'!$B$30="Polski","WIDEO I AUDIO","VIDEO AND AUDIO")</f>
        <v>WIDEO I AUDIO</v>
      </c>
      <c r="D19" s="478" t="str">
        <f>IF('Język - Language'!$B$30="Polski","WP Pilot, WP Wideo, OpenFM","WP Pilot, WP Wideo, OpenFM")</f>
        <v>WP Pilot, WP Wideo, OpenFM</v>
      </c>
      <c r="E19" s="372" t="s">
        <v>132</v>
      </c>
      <c r="F19" s="256">
        <v>120</v>
      </c>
      <c r="G19" s="256">
        <v>180</v>
      </c>
      <c r="H19" s="367">
        <v>15</v>
      </c>
      <c r="I19" s="963"/>
      <c r="J19" s="419"/>
      <c r="K19" s="375">
        <v>0.1</v>
      </c>
      <c r="L19" s="375">
        <v>0.16</v>
      </c>
    </row>
    <row r="20" spans="1:12" ht="36" customHeight="1">
      <c r="B20" s="897"/>
      <c r="C20" s="317" t="s">
        <v>133</v>
      </c>
      <c r="D20" s="371"/>
      <c r="E20" s="489" t="s">
        <v>94</v>
      </c>
      <c r="F20" s="255">
        <v>110</v>
      </c>
      <c r="G20" s="255">
        <v>165</v>
      </c>
      <c r="H20" s="256">
        <v>15</v>
      </c>
      <c r="I20" s="964"/>
      <c r="J20" s="419"/>
      <c r="K20" s="289">
        <v>7.4999999999999997E-2</v>
      </c>
      <c r="L20" s="289">
        <v>0.12</v>
      </c>
    </row>
    <row r="21" spans="1:12" s="54" customFormat="1" ht="36" customHeight="1">
      <c r="A21" s="353"/>
      <c r="B21" s="897"/>
      <c r="C21" s="316" t="str">
        <f>IF('Język - Language'!$B$30="Polski","OutStream²","OutStream²")</f>
        <v>OutStream²</v>
      </c>
      <c r="D21" s="439" t="str">
        <f>IF('Język - Language'!$B$30="Polski","WP Wiadomości, WP Finanse, WP Kobieta, WP Kuchnia, Kafeteria, WP SportoweFakty, WP Facet","WP Wiadomości, WP Finanse, WP Kobieta, WP Kuchnia, Kafeteria, WP SportoweFakty, WP Facet")</f>
        <v>WP Wiadomości, WP Finanse, WP Kobieta, WP Kuchnia, Kafeteria, WP SportoweFakty, WP Facet</v>
      </c>
      <c r="E21" s="967">
        <v>110</v>
      </c>
      <c r="F21" s="968"/>
      <c r="G21" s="968"/>
      <c r="H21" s="968"/>
      <c r="I21" s="969"/>
      <c r="J21" s="419"/>
      <c r="K21" s="419"/>
      <c r="L21" s="419"/>
    </row>
    <row r="22" spans="1:12" s="48" customFormat="1" ht="12.75" customHeight="1">
      <c r="A22" s="353"/>
      <c r="B22" s="341"/>
      <c r="C22" s="291" t="str">
        <f>IF('Język - Language'!$B$30="Polski","¹ emisja spotu z tapetą 150%","¹ emission of preroll with watermark 150%")</f>
        <v>¹ emisja spotu z tapetą 150%</v>
      </c>
      <c r="D22" s="291"/>
      <c r="E22" s="290"/>
      <c r="F22" s="290"/>
      <c r="G22" s="290"/>
      <c r="H22" s="419"/>
      <c r="I22" s="419"/>
      <c r="J22" s="419"/>
      <c r="K22" s="419"/>
      <c r="L22" s="419"/>
    </row>
    <row r="23" spans="1:12">
      <c r="B23" s="353"/>
      <c r="C23" s="292" t="str">
        <f>IF('Język - Language'!$B$30="Polski","² OutStream - dotyczy emisji tylko na wybranych serwisach, niedostępny dla modelu SkipAd","² OutStream - available only in selected sites, not avaible for SkipAd")</f>
        <v>² OutStream - dotyczy emisji tylko na wybranych serwisach, niedostępny dla modelu SkipAd</v>
      </c>
      <c r="D23" s="293"/>
      <c r="E23" s="290"/>
      <c r="F23" s="290"/>
      <c r="G23" s="290"/>
      <c r="H23" s="419"/>
      <c r="I23" s="419"/>
      <c r="J23" s="419"/>
      <c r="K23" s="419"/>
      <c r="L23" s="419"/>
    </row>
    <row r="24" spans="1:12">
      <c r="B24" s="353"/>
      <c r="C24" s="419" t="str">
        <f>IF('Język - Language'!$B$30="Polski","³ +20% za emisję video z kodów emisyjnych","³ +20% za emisję video z kodów emisyjnych")</f>
        <v>³ +20% za emisję video z kodów emisyjnych</v>
      </c>
      <c r="D24" s="1"/>
      <c r="E24" s="353"/>
      <c r="F24" s="353"/>
      <c r="G24" s="353"/>
      <c r="H24" s="353"/>
      <c r="I24" s="353"/>
      <c r="J24" s="419"/>
      <c r="K24" s="353"/>
      <c r="L24" s="353"/>
    </row>
    <row r="25" spans="1:12">
      <c r="B25" s="353"/>
      <c r="C25" s="419" t="str">
        <f>IF('Język - Language'!$B$30="Polski",CONCATENATE("⁴ InStream Video 30",CHAR(34),"+ tylko w modelu SkipAd"),CONCATENATE("⁴ InStream Video 30",CHAR(34),"+ only for SkipAd"))</f>
        <v>⁴ InStream Video 30"+ tylko w modelu SkipAd</v>
      </c>
      <c r="D25" s="353"/>
      <c r="E25" s="353"/>
      <c r="F25" s="353"/>
      <c r="G25" s="353"/>
      <c r="H25" s="353"/>
      <c r="I25" s="353"/>
      <c r="J25" s="353"/>
      <c r="K25" s="353"/>
      <c r="L25" s="353"/>
    </row>
    <row r="26" spans="1:12">
      <c r="B26" s="353"/>
      <c r="C26" s="353"/>
      <c r="D26" s="353"/>
      <c r="E26" s="353"/>
      <c r="F26" s="353"/>
      <c r="G26" s="353"/>
      <c r="H26" s="353"/>
      <c r="I26" s="353"/>
      <c r="J26" s="353"/>
      <c r="K26" s="353"/>
      <c r="L26" s="353"/>
    </row>
    <row r="27" spans="1:12">
      <c r="B27" s="353"/>
      <c r="C27" s="353"/>
      <c r="D27" s="353"/>
      <c r="E27" s="353"/>
      <c r="F27" s="353"/>
      <c r="G27" s="353"/>
      <c r="H27" s="353"/>
      <c r="I27" s="353"/>
      <c r="J27" s="353"/>
      <c r="K27" s="353"/>
      <c r="L27" s="353"/>
    </row>
    <row r="28" spans="1:12">
      <c r="B28" s="353"/>
      <c r="C28" s="353"/>
      <c r="D28" s="353"/>
      <c r="E28" s="353"/>
      <c r="F28" s="353"/>
      <c r="G28" s="353"/>
      <c r="H28" s="353"/>
      <c r="I28" s="353"/>
      <c r="J28" s="353"/>
      <c r="K28" s="353"/>
      <c r="L28" s="353"/>
    </row>
    <row r="29" spans="1:12">
      <c r="B29" s="353"/>
      <c r="C29" s="353"/>
      <c r="D29" s="353"/>
      <c r="E29" s="353"/>
      <c r="F29" s="353"/>
      <c r="G29" s="353"/>
      <c r="H29" s="353"/>
      <c r="I29" s="353"/>
      <c r="J29" s="353"/>
      <c r="K29" s="353"/>
      <c r="L29" s="353"/>
    </row>
    <row r="30" spans="1:12">
      <c r="B30" s="353"/>
      <c r="C30" s="353"/>
      <c r="D30" s="353"/>
      <c r="E30" s="353"/>
      <c r="F30" s="353"/>
      <c r="G30" s="353"/>
      <c r="H30" s="353"/>
      <c r="I30" s="353"/>
      <c r="J30" s="353"/>
      <c r="K30" s="353"/>
      <c r="L30" s="353"/>
    </row>
    <row r="31" spans="1:12">
      <c r="B31" s="353"/>
      <c r="C31" s="353"/>
      <c r="D31" s="353"/>
      <c r="E31" s="353"/>
      <c r="F31" s="353"/>
      <c r="G31" s="353"/>
      <c r="H31" s="353"/>
      <c r="I31" s="353"/>
      <c r="J31" s="353"/>
      <c r="K31" s="353"/>
      <c r="L31" s="353"/>
    </row>
    <row r="32" spans="1:12">
      <c r="B32" s="353"/>
      <c r="C32" s="353"/>
      <c r="D32" s="353"/>
      <c r="E32" s="353"/>
      <c r="F32" s="353"/>
      <c r="G32" s="353"/>
      <c r="H32" s="353"/>
      <c r="I32" s="353"/>
      <c r="J32" s="353"/>
      <c r="K32" s="353"/>
      <c r="L32" s="353"/>
    </row>
    <row r="33" spans="3:9">
      <c r="C33" s="353"/>
      <c r="D33" s="353"/>
      <c r="E33" s="353"/>
      <c r="F33" s="353"/>
      <c r="G33" s="353"/>
      <c r="H33" s="353"/>
      <c r="I33" s="353"/>
    </row>
    <row r="34" spans="3:9">
      <c r="C34" s="353"/>
      <c r="D34" s="353"/>
      <c r="E34" s="353"/>
      <c r="F34" s="353"/>
      <c r="G34" s="353"/>
      <c r="H34" s="353"/>
      <c r="I34" s="353"/>
    </row>
    <row r="35" spans="3:9">
      <c r="C35" s="353"/>
      <c r="D35" s="353"/>
      <c r="E35" s="353"/>
      <c r="F35" s="353"/>
      <c r="G35" s="353"/>
      <c r="H35" s="353"/>
      <c r="I35" s="353"/>
    </row>
    <row r="36" spans="3:9">
      <c r="C36" s="353"/>
      <c r="D36" s="353"/>
      <c r="E36" s="353"/>
      <c r="F36" s="353"/>
      <c r="G36" s="353"/>
      <c r="H36" s="353"/>
      <c r="I36" s="353"/>
    </row>
    <row r="37" spans="3:9">
      <c r="C37" s="353"/>
      <c r="D37" s="353"/>
      <c r="E37" s="353"/>
      <c r="F37" s="353"/>
      <c r="G37" s="353"/>
      <c r="H37" s="353"/>
      <c r="I37" s="353"/>
    </row>
    <row r="38" spans="3:9">
      <c r="C38" s="353"/>
      <c r="D38" s="353"/>
      <c r="E38" s="353"/>
      <c r="F38" s="353"/>
      <c r="G38" s="353"/>
      <c r="H38" s="353"/>
      <c r="I38" s="353"/>
    </row>
    <row r="39" spans="3:9">
      <c r="C39" s="353"/>
      <c r="D39" s="353"/>
      <c r="E39" s="353"/>
      <c r="F39" s="353"/>
      <c r="G39" s="353"/>
      <c r="H39" s="353"/>
      <c r="I39" s="353"/>
    </row>
    <row r="40" spans="3:9">
      <c r="C40" s="353"/>
      <c r="D40" s="353"/>
      <c r="E40" s="353"/>
      <c r="F40" s="353"/>
      <c r="G40" s="353"/>
      <c r="H40" s="353"/>
      <c r="I40" s="353"/>
    </row>
    <row r="41" spans="3:9">
      <c r="C41" s="353"/>
      <c r="D41" s="353"/>
      <c r="E41" s="353"/>
      <c r="F41" s="353"/>
      <c r="G41" s="353"/>
      <c r="H41" s="353"/>
      <c r="I41" s="353"/>
    </row>
    <row r="42" spans="3:9">
      <c r="C42" s="353"/>
      <c r="D42" s="353"/>
      <c r="E42" s="353"/>
      <c r="F42" s="353"/>
      <c r="G42" s="353"/>
      <c r="H42" s="353"/>
      <c r="I42" s="353"/>
    </row>
    <row r="43" spans="3:9">
      <c r="C43" s="353"/>
      <c r="D43" s="353"/>
      <c r="E43" s="353"/>
      <c r="F43" s="353"/>
      <c r="G43" s="353"/>
      <c r="H43" s="353"/>
      <c r="I43" s="353"/>
    </row>
    <row r="44" spans="3:9">
      <c r="C44" s="353"/>
      <c r="D44" s="353"/>
      <c r="E44" s="353"/>
      <c r="F44" s="353"/>
      <c r="G44" s="353"/>
      <c r="H44" s="353"/>
      <c r="I44" s="353"/>
    </row>
    <row r="45" spans="3:9">
      <c r="C45" s="353"/>
      <c r="D45" s="353"/>
      <c r="E45" s="353"/>
      <c r="F45" s="353"/>
      <c r="G45" s="353"/>
      <c r="H45" s="353"/>
      <c r="I45" s="353"/>
    </row>
    <row r="46" spans="3:9">
      <c r="C46" s="353"/>
      <c r="D46" s="353"/>
      <c r="E46" s="353"/>
      <c r="F46" s="353"/>
      <c r="G46" s="353"/>
      <c r="H46" s="353"/>
      <c r="I46" s="353"/>
    </row>
    <row r="47" spans="3:9">
      <c r="C47" s="353"/>
      <c r="D47" s="353"/>
      <c r="E47" s="353"/>
      <c r="F47" s="353"/>
      <c r="G47" s="353"/>
      <c r="H47" s="353"/>
      <c r="I47" s="353"/>
    </row>
    <row r="48" spans="3:9">
      <c r="C48" s="353"/>
      <c r="D48" s="353"/>
      <c r="E48" s="353"/>
      <c r="F48" s="353"/>
      <c r="G48" s="353"/>
      <c r="H48" s="353"/>
      <c r="I48" s="353"/>
    </row>
    <row r="49" spans="3:9">
      <c r="C49" s="353"/>
      <c r="D49" s="353"/>
      <c r="E49" s="353"/>
      <c r="F49" s="353"/>
      <c r="G49" s="353"/>
      <c r="H49" s="353"/>
      <c r="I49" s="353"/>
    </row>
    <row r="50" spans="3:9">
      <c r="C50" s="353"/>
      <c r="D50" s="353"/>
      <c r="E50" s="353"/>
      <c r="F50" s="353"/>
      <c r="G50" s="353"/>
      <c r="H50" s="353"/>
      <c r="I50" s="353"/>
    </row>
    <row r="51" spans="3:9">
      <c r="C51" s="353"/>
      <c r="D51" s="353"/>
      <c r="E51" s="353"/>
      <c r="F51" s="353"/>
      <c r="G51" s="353"/>
      <c r="H51" s="353"/>
      <c r="I51" s="353"/>
    </row>
    <row r="52" spans="3:9">
      <c r="C52" s="353"/>
      <c r="D52" s="353"/>
      <c r="E52" s="353"/>
      <c r="F52" s="353"/>
      <c r="G52" s="353"/>
      <c r="H52" s="353"/>
      <c r="I52" s="353"/>
    </row>
    <row r="53" spans="3:9">
      <c r="C53" s="353"/>
      <c r="D53" s="353"/>
      <c r="E53" s="353"/>
      <c r="F53" s="353"/>
      <c r="G53" s="353"/>
      <c r="H53" s="353"/>
      <c r="I53" s="353"/>
    </row>
    <row r="54" spans="3:9">
      <c r="C54" s="353"/>
      <c r="D54" s="353"/>
      <c r="E54" s="353"/>
      <c r="F54" s="353"/>
      <c r="G54" s="353"/>
      <c r="H54" s="353"/>
      <c r="I54" s="353"/>
    </row>
    <row r="55" spans="3:9">
      <c r="C55" s="353"/>
      <c r="D55" s="353"/>
      <c r="E55" s="353"/>
      <c r="F55" s="353"/>
      <c r="G55" s="353"/>
      <c r="H55" s="353"/>
      <c r="I55" s="353"/>
    </row>
    <row r="56" spans="3:9">
      <c r="C56" s="353"/>
      <c r="D56" s="353"/>
      <c r="E56" s="353"/>
      <c r="F56" s="353"/>
      <c r="G56" s="353"/>
      <c r="H56" s="353"/>
      <c r="I56" s="353"/>
    </row>
    <row r="57" spans="3:9">
      <c r="C57" s="353"/>
      <c r="D57" s="353"/>
      <c r="E57" s="353"/>
      <c r="F57" s="353"/>
      <c r="G57" s="353"/>
      <c r="H57" s="353"/>
      <c r="I57" s="353"/>
    </row>
    <row r="58" spans="3:9">
      <c r="C58" s="353"/>
      <c r="D58" s="353"/>
      <c r="E58" s="353"/>
      <c r="F58" s="353"/>
      <c r="G58" s="353"/>
      <c r="H58" s="353"/>
      <c r="I58" s="353"/>
    </row>
    <row r="59" spans="3:9">
      <c r="C59" s="353"/>
      <c r="D59" s="353"/>
      <c r="E59" s="353"/>
      <c r="F59" s="353"/>
      <c r="G59" s="353"/>
      <c r="H59" s="353"/>
      <c r="I59" s="353"/>
    </row>
    <row r="60" spans="3:9">
      <c r="C60" s="353"/>
      <c r="D60" s="353"/>
      <c r="E60" s="353"/>
      <c r="F60" s="353"/>
      <c r="G60" s="353"/>
      <c r="H60" s="353"/>
      <c r="I60" s="353"/>
    </row>
    <row r="61" spans="3:9">
      <c r="C61" s="353"/>
      <c r="D61" s="353"/>
      <c r="E61" s="353"/>
      <c r="F61" s="353"/>
      <c r="G61" s="353"/>
      <c r="H61" s="353"/>
      <c r="I61" s="353"/>
    </row>
    <row r="62" spans="3:9">
      <c r="C62" s="353"/>
      <c r="D62" s="353"/>
      <c r="E62" s="353"/>
      <c r="F62" s="353"/>
      <c r="G62" s="353"/>
      <c r="H62" s="353"/>
      <c r="I62" s="353"/>
    </row>
    <row r="63" spans="3:9">
      <c r="C63" s="353"/>
      <c r="D63" s="353"/>
      <c r="E63" s="353"/>
      <c r="F63" s="353"/>
      <c r="G63" s="353"/>
      <c r="H63" s="353"/>
      <c r="I63" s="353"/>
    </row>
    <row r="64" spans="3:9">
      <c r="C64" s="353"/>
      <c r="D64" s="353"/>
      <c r="E64" s="353"/>
      <c r="F64" s="353"/>
      <c r="G64" s="353"/>
      <c r="H64" s="353"/>
      <c r="I64" s="353"/>
    </row>
    <row r="65" spans="3:9">
      <c r="C65" s="353"/>
      <c r="D65" s="353"/>
      <c r="E65" s="353"/>
      <c r="F65" s="353"/>
      <c r="G65" s="353"/>
      <c r="H65" s="353"/>
      <c r="I65" s="353"/>
    </row>
    <row r="66" spans="3:9">
      <c r="C66" s="353"/>
      <c r="D66" s="353"/>
      <c r="E66" s="353"/>
      <c r="F66" s="353"/>
      <c r="G66" s="353"/>
      <c r="H66" s="353"/>
      <c r="I66" s="353"/>
    </row>
    <row r="67" spans="3:9">
      <c r="C67" s="353"/>
      <c r="D67" s="353"/>
      <c r="E67" s="353"/>
      <c r="F67" s="353"/>
      <c r="G67" s="353"/>
      <c r="H67" s="353"/>
      <c r="I67" s="353"/>
    </row>
    <row r="68" spans="3:9">
      <c r="C68" s="353"/>
      <c r="D68" s="353"/>
      <c r="E68" s="353"/>
      <c r="F68" s="353"/>
      <c r="G68" s="353"/>
      <c r="H68" s="353"/>
      <c r="I68" s="353"/>
    </row>
    <row r="69" spans="3:9">
      <c r="C69" s="353"/>
      <c r="D69" s="353"/>
      <c r="E69" s="353"/>
      <c r="F69" s="353"/>
      <c r="G69" s="353"/>
      <c r="H69" s="353"/>
      <c r="I69" s="353"/>
    </row>
    <row r="70" spans="3:9">
      <c r="C70" s="353"/>
      <c r="D70" s="353"/>
      <c r="E70" s="353"/>
      <c r="F70" s="353"/>
      <c r="G70" s="353"/>
      <c r="H70" s="353"/>
      <c r="I70" s="353"/>
    </row>
    <row r="71" spans="3:9">
      <c r="C71" s="353"/>
      <c r="D71" s="353"/>
      <c r="E71" s="353"/>
      <c r="F71" s="353"/>
      <c r="G71" s="353"/>
      <c r="H71" s="353"/>
      <c r="I71" s="353"/>
    </row>
    <row r="72" spans="3:9">
      <c r="C72" s="353"/>
      <c r="D72" s="353"/>
      <c r="E72" s="353"/>
      <c r="F72" s="353"/>
      <c r="G72" s="353"/>
      <c r="H72" s="353"/>
      <c r="I72" s="353"/>
    </row>
    <row r="73" spans="3:9">
      <c r="C73" s="353"/>
      <c r="D73" s="353"/>
      <c r="E73" s="353"/>
      <c r="F73" s="353"/>
      <c r="G73" s="353"/>
      <c r="H73" s="353"/>
      <c r="I73" s="353"/>
    </row>
    <row r="74" spans="3:9">
      <c r="C74" s="353"/>
      <c r="D74" s="353"/>
      <c r="E74" s="353"/>
      <c r="F74" s="353"/>
      <c r="G74" s="353"/>
      <c r="H74" s="353"/>
      <c r="I74" s="353"/>
    </row>
    <row r="75" spans="3:9">
      <c r="C75" s="353"/>
      <c r="D75" s="353"/>
      <c r="E75" s="353"/>
      <c r="F75" s="353"/>
      <c r="G75" s="353"/>
      <c r="H75" s="353"/>
      <c r="I75" s="353"/>
    </row>
    <row r="76" spans="3:9">
      <c r="C76" s="353"/>
      <c r="D76" s="353"/>
      <c r="E76" s="353"/>
      <c r="F76" s="353"/>
      <c r="G76" s="353"/>
      <c r="H76" s="353"/>
      <c r="I76" s="353"/>
    </row>
    <row r="77" spans="3:9">
      <c r="C77" s="353"/>
      <c r="D77" s="353"/>
      <c r="E77" s="353"/>
      <c r="F77" s="353"/>
      <c r="G77" s="353"/>
      <c r="H77" s="353"/>
      <c r="I77" s="353"/>
    </row>
    <row r="78" spans="3:9">
      <c r="C78" s="353"/>
      <c r="D78" s="353"/>
      <c r="E78" s="353"/>
      <c r="F78" s="353"/>
      <c r="G78" s="353"/>
      <c r="H78" s="353"/>
      <c r="I78" s="353"/>
    </row>
    <row r="79" spans="3:9">
      <c r="C79" s="353"/>
      <c r="D79" s="353"/>
      <c r="E79" s="353"/>
      <c r="F79" s="353"/>
      <c r="G79" s="353"/>
      <c r="H79" s="353"/>
      <c r="I79" s="353"/>
    </row>
    <row r="80" spans="3:9">
      <c r="C80" s="353"/>
      <c r="D80" s="353"/>
      <c r="E80" s="353"/>
      <c r="F80" s="353"/>
      <c r="G80" s="353"/>
      <c r="H80" s="353"/>
      <c r="I80" s="353"/>
    </row>
    <row r="81" spans="3:9">
      <c r="C81" s="353"/>
      <c r="D81" s="353"/>
      <c r="E81" s="353"/>
      <c r="F81" s="353"/>
      <c r="G81" s="353"/>
      <c r="H81" s="353"/>
      <c r="I81" s="353"/>
    </row>
    <row r="82" spans="3:9">
      <c r="C82" s="353"/>
      <c r="D82" s="353"/>
      <c r="E82" s="353"/>
      <c r="F82" s="353"/>
      <c r="G82" s="353"/>
      <c r="H82" s="353"/>
      <c r="I82" s="353"/>
    </row>
    <row r="83" spans="3:9">
      <c r="C83" s="353"/>
      <c r="D83" s="353"/>
      <c r="E83" s="353"/>
      <c r="F83" s="353"/>
      <c r="G83" s="353"/>
      <c r="H83" s="353"/>
      <c r="I83" s="353"/>
    </row>
    <row r="84" spans="3:9">
      <c r="C84" s="353"/>
      <c r="D84" s="353"/>
      <c r="E84" s="353"/>
      <c r="F84" s="353"/>
      <c r="G84" s="353"/>
      <c r="H84" s="353"/>
      <c r="I84" s="353"/>
    </row>
    <row r="85" spans="3:9">
      <c r="C85" s="353"/>
      <c r="D85" s="353"/>
      <c r="E85" s="353"/>
      <c r="F85" s="353"/>
      <c r="G85" s="353"/>
      <c r="H85" s="353"/>
      <c r="I85" s="353"/>
    </row>
    <row r="86" spans="3:9">
      <c r="C86" s="353"/>
      <c r="D86" s="353"/>
      <c r="E86" s="353"/>
      <c r="F86" s="353"/>
      <c r="G86" s="353"/>
      <c r="H86" s="353"/>
      <c r="I86" s="353"/>
    </row>
    <row r="87" spans="3:9">
      <c r="C87" s="353"/>
      <c r="D87" s="353"/>
      <c r="E87" s="353"/>
      <c r="F87" s="353"/>
      <c r="G87" s="353"/>
      <c r="H87" s="353"/>
      <c r="I87" s="353"/>
    </row>
    <row r="88" spans="3:9">
      <c r="C88" s="353"/>
      <c r="D88" s="353"/>
      <c r="E88" s="353"/>
      <c r="F88" s="353"/>
      <c r="G88" s="353"/>
      <c r="H88" s="353"/>
      <c r="I88" s="353"/>
    </row>
    <row r="89" spans="3:9">
      <c r="C89" s="353"/>
      <c r="D89" s="353"/>
      <c r="E89" s="353"/>
      <c r="F89" s="353"/>
      <c r="G89" s="353"/>
      <c r="H89" s="353"/>
      <c r="I89" s="353"/>
    </row>
    <row r="90" spans="3:9">
      <c r="C90" s="353"/>
      <c r="D90" s="353"/>
      <c r="E90" s="353"/>
      <c r="F90" s="353"/>
      <c r="G90" s="353"/>
      <c r="H90" s="353"/>
      <c r="I90" s="353"/>
    </row>
    <row r="91" spans="3:9">
      <c r="C91" s="353"/>
      <c r="D91" s="353"/>
      <c r="E91" s="353"/>
      <c r="F91" s="353"/>
      <c r="G91" s="353"/>
      <c r="H91" s="353"/>
      <c r="I91" s="353"/>
    </row>
    <row r="92" spans="3:9">
      <c r="C92" s="353"/>
      <c r="D92" s="353"/>
      <c r="E92" s="353"/>
      <c r="F92" s="353"/>
      <c r="G92" s="353"/>
      <c r="H92" s="353"/>
      <c r="I92" s="353"/>
    </row>
    <row r="93" spans="3:9">
      <c r="C93" s="353"/>
      <c r="D93" s="353"/>
      <c r="E93" s="353"/>
      <c r="F93" s="353"/>
      <c r="G93" s="353"/>
      <c r="H93" s="353"/>
      <c r="I93" s="353"/>
    </row>
    <row r="94" spans="3:9">
      <c r="C94" s="353"/>
      <c r="D94" s="353"/>
      <c r="E94" s="353"/>
      <c r="F94" s="353"/>
      <c r="G94" s="353"/>
      <c r="H94" s="353"/>
      <c r="I94" s="353"/>
    </row>
    <row r="95" spans="3:9">
      <c r="C95" s="353"/>
      <c r="D95" s="353"/>
      <c r="E95" s="353"/>
      <c r="F95" s="353"/>
      <c r="G95" s="353"/>
      <c r="H95" s="353"/>
      <c r="I95" s="353"/>
    </row>
    <row r="96" spans="3:9">
      <c r="C96" s="353"/>
      <c r="D96" s="353"/>
      <c r="E96" s="353"/>
      <c r="F96" s="353"/>
      <c r="G96" s="353"/>
      <c r="H96" s="353"/>
      <c r="I96" s="353"/>
    </row>
    <row r="97" spans="3:9">
      <c r="C97" s="353"/>
      <c r="D97" s="353"/>
      <c r="E97" s="353"/>
      <c r="F97" s="353"/>
      <c r="G97" s="353"/>
      <c r="H97" s="353"/>
      <c r="I97" s="353"/>
    </row>
    <row r="98" spans="3:9">
      <c r="C98" s="353"/>
      <c r="D98" s="353"/>
      <c r="E98" s="353"/>
      <c r="F98" s="353"/>
      <c r="G98" s="353"/>
      <c r="H98" s="353"/>
      <c r="I98" s="353"/>
    </row>
    <row r="99" spans="3:9">
      <c r="C99" s="353"/>
      <c r="D99" s="353"/>
      <c r="E99" s="353"/>
      <c r="F99" s="353"/>
      <c r="G99" s="353"/>
      <c r="H99" s="353"/>
      <c r="I99" s="353"/>
    </row>
    <row r="100" spans="3:9">
      <c r="C100" s="353"/>
      <c r="D100" s="353"/>
      <c r="E100" s="353"/>
      <c r="F100" s="353"/>
      <c r="G100" s="353"/>
      <c r="H100" s="353"/>
      <c r="I100" s="353"/>
    </row>
    <row r="101" spans="3:9">
      <c r="C101" s="353"/>
      <c r="D101" s="353"/>
      <c r="E101" s="353"/>
      <c r="F101" s="353"/>
      <c r="G101" s="353"/>
      <c r="H101" s="353"/>
      <c r="I101" s="353"/>
    </row>
    <row r="102" spans="3:9">
      <c r="C102" s="353"/>
      <c r="D102" s="353"/>
      <c r="E102" s="353"/>
      <c r="F102" s="353"/>
      <c r="G102" s="353"/>
      <c r="H102" s="353"/>
      <c r="I102" s="353"/>
    </row>
    <row r="103" spans="3:9">
      <c r="C103" s="353"/>
      <c r="D103" s="353"/>
      <c r="E103" s="353"/>
      <c r="F103" s="353"/>
      <c r="G103" s="353"/>
      <c r="H103" s="353"/>
      <c r="I103" s="353"/>
    </row>
    <row r="104" spans="3:9">
      <c r="C104" s="353"/>
      <c r="D104" s="353"/>
      <c r="E104" s="353"/>
      <c r="F104" s="353"/>
      <c r="G104" s="353"/>
      <c r="H104" s="353"/>
      <c r="I104" s="353"/>
    </row>
    <row r="105" spans="3:9">
      <c r="C105" s="353"/>
      <c r="D105" s="353"/>
      <c r="E105" s="353"/>
      <c r="F105" s="353"/>
      <c r="G105" s="353"/>
      <c r="H105" s="353"/>
      <c r="I105" s="353"/>
    </row>
    <row r="106" spans="3:9">
      <c r="C106" s="353"/>
      <c r="D106" s="353"/>
      <c r="E106" s="353"/>
      <c r="F106" s="353"/>
      <c r="G106" s="353"/>
      <c r="H106" s="353"/>
      <c r="I106" s="353"/>
    </row>
    <row r="107" spans="3:9">
      <c r="C107" s="353"/>
      <c r="D107" s="353"/>
      <c r="E107" s="353"/>
      <c r="F107" s="353"/>
      <c r="G107" s="353"/>
      <c r="H107" s="353"/>
      <c r="I107" s="353"/>
    </row>
    <row r="108" spans="3:9">
      <c r="C108" s="353"/>
      <c r="D108" s="353"/>
      <c r="E108" s="353"/>
      <c r="F108" s="353"/>
      <c r="G108" s="353"/>
      <c r="H108" s="353"/>
      <c r="I108" s="353"/>
    </row>
  </sheetData>
  <mergeCells count="13">
    <mergeCell ref="B10:B21"/>
    <mergeCell ref="C7:C9"/>
    <mergeCell ref="H1:L3"/>
    <mergeCell ref="H7:I7"/>
    <mergeCell ref="I10:I16"/>
    <mergeCell ref="I18:I20"/>
    <mergeCell ref="K7:L7"/>
    <mergeCell ref="E21:I21"/>
    <mergeCell ref="D7:D9"/>
    <mergeCell ref="F7:G7"/>
    <mergeCell ref="K8:L8"/>
    <mergeCell ref="E8:G8"/>
    <mergeCell ref="E10:E18"/>
  </mergeCells>
  <pageMargins left="0.7" right="0.7" top="0.75" bottom="0.75" header="0.3" footer="0.3"/>
  <pageSetup paperSize="256" fitToHeight="0" orientation="landscape" r:id="rId1"/>
  <ignoredErrors>
    <ignoredError sqref="I18 I10"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pageSetUpPr fitToPage="1"/>
  </sheetPr>
  <dimension ref="A1:Q26"/>
  <sheetViews>
    <sheetView zoomScaleNormal="100" workbookViewId="0">
      <pane ySplit="4" topLeftCell="A5" activePane="bottomLeft" state="frozen"/>
      <selection pane="bottomLeft"/>
    </sheetView>
  </sheetViews>
  <sheetFormatPr defaultColWidth="11.42578125" defaultRowHeight="12.75"/>
  <cols>
    <col min="1" max="1" width="5.7109375" style="2" customWidth="1"/>
    <col min="2" max="2" width="27.140625" style="2" customWidth="1"/>
    <col min="3" max="3" width="50" style="2" customWidth="1"/>
    <col min="4" max="13" width="10.28515625" style="2" customWidth="1"/>
    <col min="14" max="15" width="11.7109375" style="2" customWidth="1"/>
    <col min="16" max="17" width="11.42578125" style="2" customWidth="1"/>
    <col min="18" max="16384" width="11.42578125" style="2"/>
  </cols>
  <sheetData>
    <row r="1" spans="2:17" ht="12.75" customHeight="1">
      <c r="B1" s="353"/>
      <c r="C1" s="353"/>
      <c r="D1" s="18"/>
      <c r="E1" s="18"/>
      <c r="F1" s="353"/>
      <c r="G1" s="353"/>
      <c r="H1" s="355"/>
      <c r="I1" s="355"/>
      <c r="J1" s="355"/>
      <c r="K1" s="523"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L1" s="523"/>
      <c r="M1" s="523"/>
      <c r="N1" s="523"/>
      <c r="O1" s="523"/>
      <c r="P1" s="523"/>
      <c r="Q1" s="523"/>
    </row>
    <row r="2" spans="2:17" ht="12.75" customHeight="1">
      <c r="B2" s="355"/>
      <c r="C2" s="353"/>
      <c r="D2" s="18"/>
      <c r="E2" s="18"/>
      <c r="F2" s="353"/>
      <c r="G2" s="355"/>
      <c r="H2" s="355"/>
      <c r="I2" s="355"/>
      <c r="J2" s="355"/>
      <c r="K2" s="523"/>
      <c r="L2" s="523"/>
      <c r="M2" s="523"/>
      <c r="N2" s="523"/>
      <c r="O2" s="523"/>
      <c r="P2" s="523"/>
      <c r="Q2" s="523"/>
    </row>
    <row r="3" spans="2:17" ht="12.75" customHeight="1">
      <c r="B3" s="355"/>
      <c r="C3" s="353"/>
      <c r="D3" s="18"/>
      <c r="E3" s="18"/>
      <c r="F3" s="353"/>
      <c r="G3" s="355"/>
      <c r="H3" s="355"/>
      <c r="I3" s="355"/>
      <c r="J3" s="355"/>
      <c r="K3" s="523"/>
      <c r="L3" s="523"/>
      <c r="M3" s="523"/>
      <c r="N3" s="523"/>
      <c r="O3" s="523"/>
      <c r="P3" s="523"/>
      <c r="Q3" s="523"/>
    </row>
    <row r="4" spans="2:17" s="35" customFormat="1" ht="12.75" customHeight="1">
      <c r="B4" s="36" t="str">
        <f>IF('Język - Language'!$B$30="Polski","                        Data Power","                        Data Power")</f>
        <v xml:space="preserve">                        Data Power</v>
      </c>
      <c r="C4" s="356"/>
      <c r="D4" s="356"/>
      <c r="E4" s="356"/>
      <c r="F4" s="356"/>
      <c r="G4" s="356"/>
      <c r="H4" s="356"/>
      <c r="I4" s="356"/>
      <c r="J4" s="356"/>
      <c r="K4" s="356"/>
      <c r="L4" s="356"/>
      <c r="M4" s="356"/>
      <c r="N4" s="356"/>
      <c r="O4" s="356"/>
      <c r="P4" s="356"/>
      <c r="Q4" s="340" t="str">
        <f>IF('Język - Language'!$B$30="Polski","PL","EN")</f>
        <v>PL</v>
      </c>
    </row>
    <row r="5" spans="2:17" ht="15">
      <c r="B5" s="353"/>
      <c r="C5" s="353"/>
      <c r="D5" s="353"/>
      <c r="E5" s="353"/>
      <c r="F5" s="353"/>
      <c r="G5" s="353"/>
      <c r="H5" s="353"/>
      <c r="I5" s="353"/>
      <c r="J5" s="353"/>
      <c r="K5" s="353"/>
      <c r="L5" s="353"/>
      <c r="M5" s="353"/>
      <c r="N5" s="354"/>
      <c r="O5" s="354"/>
      <c r="P5" s="354"/>
      <c r="Q5" s="354"/>
    </row>
    <row r="6" spans="2:17" ht="12.75" customHeight="1">
      <c r="B6" s="109"/>
      <c r="C6" s="109"/>
      <c r="D6" s="354"/>
      <c r="E6" s="353"/>
      <c r="F6" s="353"/>
      <c r="G6" s="353"/>
      <c r="H6" s="353"/>
      <c r="I6" s="353"/>
      <c r="J6" s="353"/>
      <c r="K6" s="353"/>
      <c r="L6" s="353"/>
      <c r="M6" s="353"/>
      <c r="N6" s="109"/>
      <c r="O6" s="109"/>
      <c r="P6" s="354"/>
      <c r="Q6" s="354"/>
    </row>
    <row r="7" spans="2:17" ht="12.75" customHeight="1">
      <c r="B7" s="908" t="s">
        <v>134</v>
      </c>
      <c r="C7" s="990" t="s">
        <v>135</v>
      </c>
      <c r="D7" s="874" t="s">
        <v>136</v>
      </c>
      <c r="E7" s="874"/>
      <c r="F7" s="874" t="s">
        <v>137</v>
      </c>
      <c r="G7" s="874"/>
      <c r="H7" s="874" t="s">
        <v>138</v>
      </c>
      <c r="I7" s="916"/>
      <c r="J7" s="915" t="s">
        <v>139</v>
      </c>
      <c r="K7" s="916"/>
      <c r="L7" s="899" t="s">
        <v>108</v>
      </c>
      <c r="M7" s="900"/>
      <c r="N7" s="973" t="s">
        <v>140</v>
      </c>
      <c r="O7" s="985"/>
      <c r="P7" s="981" t="s">
        <v>141</v>
      </c>
      <c r="Q7" s="982"/>
    </row>
    <row r="8" spans="2:17" ht="12.75" customHeight="1">
      <c r="B8" s="648"/>
      <c r="C8" s="991"/>
      <c r="D8" s="772"/>
      <c r="E8" s="772"/>
      <c r="F8" s="772" t="s">
        <v>142</v>
      </c>
      <c r="G8" s="772"/>
      <c r="H8" s="772"/>
      <c r="I8" s="779"/>
      <c r="J8" s="917"/>
      <c r="K8" s="779"/>
      <c r="L8" s="899"/>
      <c r="M8" s="900"/>
      <c r="N8" s="973"/>
      <c r="O8" s="985"/>
      <c r="P8" s="981"/>
      <c r="Q8" s="982"/>
    </row>
    <row r="9" spans="2:17" ht="25.5" customHeight="1">
      <c r="B9" s="648"/>
      <c r="C9" s="991"/>
      <c r="D9" s="911" t="s">
        <v>143</v>
      </c>
      <c r="E9" s="911"/>
      <c r="F9" s="772" t="s">
        <v>144</v>
      </c>
      <c r="G9" s="772"/>
      <c r="H9" s="772" t="s">
        <v>145</v>
      </c>
      <c r="I9" s="779"/>
      <c r="J9" s="904" t="s">
        <v>146</v>
      </c>
      <c r="K9" s="905"/>
      <c r="L9" s="901" t="s">
        <v>109</v>
      </c>
      <c r="M9" s="902"/>
      <c r="N9" s="901" t="s">
        <v>147</v>
      </c>
      <c r="O9" s="902"/>
      <c r="P9" s="981"/>
      <c r="Q9" s="982"/>
    </row>
    <row r="10" spans="2:17" ht="25.5" customHeight="1">
      <c r="B10" s="648"/>
      <c r="C10" s="991"/>
      <c r="D10" s="911"/>
      <c r="E10" s="911"/>
      <c r="F10" s="911" t="s">
        <v>148</v>
      </c>
      <c r="G10" s="911"/>
      <c r="H10" s="772"/>
      <c r="I10" s="779"/>
      <c r="J10" s="904"/>
      <c r="K10" s="905"/>
      <c r="L10" s="901"/>
      <c r="M10" s="902"/>
      <c r="N10" s="901"/>
      <c r="O10" s="902"/>
      <c r="P10" s="983"/>
      <c r="Q10" s="984"/>
    </row>
    <row r="11" spans="2:17" ht="25.5" customHeight="1">
      <c r="B11" s="648"/>
      <c r="C11" s="991"/>
      <c r="D11" s="772" t="s">
        <v>149</v>
      </c>
      <c r="E11" s="772"/>
      <c r="F11" s="772"/>
      <c r="G11" s="772"/>
      <c r="H11" s="772"/>
      <c r="I11" s="772"/>
      <c r="J11" s="772"/>
      <c r="K11" s="772"/>
      <c r="L11" s="772"/>
      <c r="M11" s="779"/>
      <c r="N11" s="986" t="s">
        <v>150</v>
      </c>
      <c r="O11" s="985"/>
      <c r="P11" s="772" t="s">
        <v>151</v>
      </c>
      <c r="Q11" s="779"/>
    </row>
    <row r="12" spans="2:17" ht="25.5" customHeight="1">
      <c r="B12" s="903"/>
      <c r="C12" s="991"/>
      <c r="D12" s="470" t="s">
        <v>152</v>
      </c>
      <c r="E12" s="349" t="s">
        <v>153</v>
      </c>
      <c r="F12" s="470" t="s">
        <v>152</v>
      </c>
      <c r="G12" s="349" t="s">
        <v>153</v>
      </c>
      <c r="H12" s="470" t="s">
        <v>152</v>
      </c>
      <c r="I12" s="349" t="s">
        <v>153</v>
      </c>
      <c r="J12" s="470" t="s">
        <v>152</v>
      </c>
      <c r="K12" s="360" t="s">
        <v>153</v>
      </c>
      <c r="L12" s="470" t="s">
        <v>152</v>
      </c>
      <c r="M12" s="360" t="s">
        <v>153</v>
      </c>
      <c r="N12" s="359" t="s">
        <v>128</v>
      </c>
      <c r="O12" s="361" t="s">
        <v>154</v>
      </c>
      <c r="P12" s="470" t="s">
        <v>95</v>
      </c>
      <c r="Q12" s="471" t="s">
        <v>96</v>
      </c>
    </row>
    <row r="13" spans="2:17" ht="37.5" customHeight="1">
      <c r="B13" s="493" t="s">
        <v>155</v>
      </c>
      <c r="C13" s="438" t="s">
        <v>156</v>
      </c>
      <c r="D13" s="343">
        <v>108</v>
      </c>
      <c r="E13" s="474">
        <v>129.6</v>
      </c>
      <c r="F13" s="343">
        <v>162</v>
      </c>
      <c r="G13" s="474">
        <v>194.4</v>
      </c>
      <c r="H13" s="343">
        <v>216</v>
      </c>
      <c r="I13" s="474">
        <v>259.2</v>
      </c>
      <c r="J13" s="346">
        <v>252</v>
      </c>
      <c r="K13" s="403">
        <v>302.39999999999998</v>
      </c>
      <c r="L13" s="346">
        <v>282</v>
      </c>
      <c r="M13" s="403">
        <v>338.4</v>
      </c>
      <c r="N13" s="362" t="s">
        <v>157</v>
      </c>
      <c r="O13" s="405" t="s">
        <v>158</v>
      </c>
      <c r="P13" s="365" t="s">
        <v>159</v>
      </c>
      <c r="Q13" s="407" t="s">
        <v>160</v>
      </c>
    </row>
    <row r="14" spans="2:17" s="95" customFormat="1" ht="37.5" customHeight="1">
      <c r="B14" s="342" t="s">
        <v>161</v>
      </c>
      <c r="C14" s="477" t="s">
        <v>162</v>
      </c>
      <c r="D14" s="347">
        <v>66</v>
      </c>
      <c r="E14" s="400">
        <v>78</v>
      </c>
      <c r="F14" s="344">
        <v>96</v>
      </c>
      <c r="G14" s="400">
        <v>115.19999999999999</v>
      </c>
      <c r="H14" s="344">
        <v>126</v>
      </c>
      <c r="I14" s="400">
        <v>151.19999999999999</v>
      </c>
      <c r="J14" s="345">
        <v>150</v>
      </c>
      <c r="K14" s="399">
        <v>180</v>
      </c>
      <c r="L14" s="345">
        <v>174</v>
      </c>
      <c r="M14" s="399">
        <v>210</v>
      </c>
      <c r="N14" s="363" t="s">
        <v>163</v>
      </c>
      <c r="O14" s="406" t="s">
        <v>164</v>
      </c>
      <c r="P14" s="366" t="s">
        <v>165</v>
      </c>
      <c r="Q14" s="408" t="s">
        <v>166</v>
      </c>
    </row>
    <row r="15" spans="2:17" ht="37.5" customHeight="1">
      <c r="B15" s="348" t="s">
        <v>167</v>
      </c>
      <c r="C15" s="438" t="s">
        <v>168</v>
      </c>
      <c r="D15" s="347">
        <v>54</v>
      </c>
      <c r="E15" s="400">
        <v>64.8</v>
      </c>
      <c r="F15" s="344">
        <v>81.599999999999994</v>
      </c>
      <c r="G15" s="400">
        <v>97.2</v>
      </c>
      <c r="H15" s="344">
        <v>108</v>
      </c>
      <c r="I15" s="400">
        <v>129.6</v>
      </c>
      <c r="J15" s="345">
        <v>127.19999999999999</v>
      </c>
      <c r="K15" s="399">
        <v>152.4</v>
      </c>
      <c r="L15" s="345">
        <v>144</v>
      </c>
      <c r="M15" s="399">
        <v>172.79999999999998</v>
      </c>
      <c r="N15" s="364" t="s">
        <v>163</v>
      </c>
      <c r="O15" s="406" t="s">
        <v>164</v>
      </c>
      <c r="P15" s="366" t="s">
        <v>169</v>
      </c>
      <c r="Q15" s="408" t="s">
        <v>170</v>
      </c>
    </row>
    <row r="16" spans="2:17" ht="37.5" customHeight="1">
      <c r="B16" s="342" t="s">
        <v>171</v>
      </c>
      <c r="C16" s="477" t="s">
        <v>172</v>
      </c>
      <c r="D16" s="347">
        <v>36</v>
      </c>
      <c r="E16" s="400">
        <v>43.199999999999996</v>
      </c>
      <c r="F16" s="344">
        <v>54</v>
      </c>
      <c r="G16" s="400">
        <v>64.8</v>
      </c>
      <c r="H16" s="344">
        <v>72</v>
      </c>
      <c r="I16" s="400">
        <v>86.399999999999991</v>
      </c>
      <c r="J16" s="345">
        <v>84</v>
      </c>
      <c r="K16" s="399">
        <v>100.8</v>
      </c>
      <c r="L16" s="345">
        <v>93.6</v>
      </c>
      <c r="M16" s="399">
        <v>112.8</v>
      </c>
      <c r="N16" s="364" t="s">
        <v>163</v>
      </c>
      <c r="O16" s="406" t="s">
        <v>164</v>
      </c>
      <c r="P16" s="366" t="s">
        <v>173</v>
      </c>
      <c r="Q16" s="408" t="s">
        <v>174</v>
      </c>
    </row>
    <row r="17" spans="1:17" ht="48" customHeight="1">
      <c r="A17" s="353"/>
      <c r="B17" s="342" t="s">
        <v>175</v>
      </c>
      <c r="C17" s="438" t="s">
        <v>176</v>
      </c>
      <c r="D17" s="347">
        <v>54</v>
      </c>
      <c r="E17" s="400">
        <v>64.8</v>
      </c>
      <c r="F17" s="344">
        <v>81.599999999999994</v>
      </c>
      <c r="G17" s="400">
        <v>97.2</v>
      </c>
      <c r="H17" s="344">
        <v>108</v>
      </c>
      <c r="I17" s="400">
        <v>129.6</v>
      </c>
      <c r="J17" s="345">
        <v>127.19999999999999</v>
      </c>
      <c r="K17" s="399">
        <v>152.4</v>
      </c>
      <c r="L17" s="345">
        <v>144</v>
      </c>
      <c r="M17" s="399">
        <v>172.79999999999998</v>
      </c>
      <c r="N17" s="364" t="s">
        <v>163</v>
      </c>
      <c r="O17" s="406" t="s">
        <v>164</v>
      </c>
      <c r="P17" s="366" t="s">
        <v>169</v>
      </c>
      <c r="Q17" s="408" t="s">
        <v>177</v>
      </c>
    </row>
    <row r="18" spans="1:17" ht="37.5" customHeight="1">
      <c r="A18" s="353"/>
      <c r="B18" s="348" t="s">
        <v>178</v>
      </c>
      <c r="C18" s="438" t="s">
        <v>179</v>
      </c>
      <c r="D18" s="347">
        <v>54</v>
      </c>
      <c r="E18" s="400">
        <v>64.8</v>
      </c>
      <c r="F18" s="344">
        <v>81.599999999999994</v>
      </c>
      <c r="G18" s="400">
        <v>97.2</v>
      </c>
      <c r="H18" s="344">
        <v>108</v>
      </c>
      <c r="I18" s="400">
        <v>129.6</v>
      </c>
      <c r="J18" s="345">
        <v>127.19999999999999</v>
      </c>
      <c r="K18" s="399">
        <v>152.4</v>
      </c>
      <c r="L18" s="345">
        <v>144</v>
      </c>
      <c r="M18" s="399">
        <v>172.79999999999998</v>
      </c>
      <c r="N18" s="364" t="s">
        <v>163</v>
      </c>
      <c r="O18" s="397">
        <v>150</v>
      </c>
      <c r="P18" s="366" t="s">
        <v>169</v>
      </c>
      <c r="Q18" s="408" t="s">
        <v>177</v>
      </c>
    </row>
    <row r="19" spans="1:17" ht="48" customHeight="1">
      <c r="A19" s="353"/>
      <c r="B19" s="342" t="s">
        <v>180</v>
      </c>
      <c r="C19" s="479" t="s">
        <v>181</v>
      </c>
      <c r="D19" s="344">
        <v>99</v>
      </c>
      <c r="E19" s="401">
        <v>118.8</v>
      </c>
      <c r="F19" s="344">
        <v>144</v>
      </c>
      <c r="G19" s="401">
        <v>172.79999999999998</v>
      </c>
      <c r="H19" s="344">
        <v>198</v>
      </c>
      <c r="I19" s="401">
        <v>237.6</v>
      </c>
      <c r="J19" s="345">
        <v>224.4</v>
      </c>
      <c r="K19" s="404">
        <v>268.8</v>
      </c>
      <c r="L19" s="345">
        <v>252</v>
      </c>
      <c r="M19" s="404">
        <v>302.39999999999998</v>
      </c>
      <c r="N19" s="364" t="s">
        <v>158</v>
      </c>
      <c r="O19" s="397">
        <v>240</v>
      </c>
      <c r="P19" s="366" t="s">
        <v>182</v>
      </c>
      <c r="Q19" s="408" t="s">
        <v>183</v>
      </c>
    </row>
    <row r="20" spans="1:17" ht="25.5" customHeight="1">
      <c r="A20" s="353"/>
      <c r="B20" s="348" t="s">
        <v>184</v>
      </c>
      <c r="C20" s="438" t="s">
        <v>185</v>
      </c>
      <c r="D20" s="987" t="s">
        <v>186</v>
      </c>
      <c r="E20" s="988"/>
      <c r="F20" s="988"/>
      <c r="G20" s="988"/>
      <c r="H20" s="988"/>
      <c r="I20" s="988"/>
      <c r="J20" s="988"/>
      <c r="K20" s="988"/>
      <c r="L20" s="988"/>
      <c r="M20" s="988"/>
      <c r="N20" s="988"/>
      <c r="O20" s="988"/>
      <c r="P20" s="988"/>
      <c r="Q20" s="989"/>
    </row>
    <row r="21" spans="1:17" ht="37.5" customHeight="1">
      <c r="A21" s="341"/>
      <c r="B21" s="348" t="s">
        <v>187</v>
      </c>
      <c r="C21" s="351" t="s">
        <v>188</v>
      </c>
      <c r="D21" s="978" t="s">
        <v>186</v>
      </c>
      <c r="E21" s="979"/>
      <c r="F21" s="979"/>
      <c r="G21" s="979"/>
      <c r="H21" s="979"/>
      <c r="I21" s="979"/>
      <c r="J21" s="979"/>
      <c r="K21" s="979"/>
      <c r="L21" s="979"/>
      <c r="M21" s="979"/>
      <c r="N21" s="979"/>
      <c r="O21" s="979"/>
      <c r="P21" s="979"/>
      <c r="Q21" s="980"/>
    </row>
    <row r="22" spans="1:17" ht="25.5" customHeight="1">
      <c r="A22" s="341"/>
      <c r="B22" s="350" t="s">
        <v>189</v>
      </c>
      <c r="C22" s="352" t="s">
        <v>190</v>
      </c>
      <c r="D22" s="978" t="s">
        <v>191</v>
      </c>
      <c r="E22" s="979"/>
      <c r="F22" s="979"/>
      <c r="G22" s="979"/>
      <c r="H22" s="979"/>
      <c r="I22" s="979"/>
      <c r="J22" s="979"/>
      <c r="K22" s="979"/>
      <c r="L22" s="979"/>
      <c r="M22" s="979"/>
      <c r="N22" s="979"/>
      <c r="O22" s="979"/>
      <c r="P22" s="979"/>
      <c r="Q22" s="980"/>
    </row>
    <row r="23" spans="1:17">
      <c r="A23" s="353"/>
      <c r="B23" s="357" t="str">
        <f>IF('Język - Language'!$B$30="Polski","¹ ceny dotyczą rozliczenia vCPM zgodnego ze standardem IAB, dla innych standardów obowiązuje wycena indywidualna","* the above prices concern the vCPM settlement according to the IAB standard, for other standards individual valuation applies")</f>
        <v>¹ ceny dotyczą rozliczenia vCPM zgodnego ze standardem IAB, dla innych standardów obowiązuje wycena indywidualna</v>
      </c>
      <c r="C23" s="353"/>
      <c r="D23" s="353"/>
      <c r="E23" s="353"/>
      <c r="F23" s="353"/>
      <c r="G23" s="353"/>
      <c r="H23" s="353"/>
      <c r="I23" s="353"/>
      <c r="J23" s="353"/>
      <c r="K23" s="353"/>
      <c r="L23" s="353"/>
      <c r="M23" s="353"/>
      <c r="N23" s="353"/>
      <c r="O23" s="353"/>
      <c r="P23" s="353"/>
      <c r="Q23" s="353"/>
    </row>
    <row r="24" spans="1:17">
      <c r="A24" s="353"/>
      <c r="B24" s="358" t="str">
        <f>IF('Język - Language'!$B$30="Polski","² na SG O2 możliwość emisji wybranych formatów reklamowych (bez Halfpage)","² in case of o2 only selected advertising formats are applicable (without Halfpage)")</f>
        <v>² na SG O2 możliwość emisji wybranych formatów reklamowych (bez Halfpage)</v>
      </c>
      <c r="C24" s="353"/>
      <c r="D24" s="353"/>
      <c r="E24" s="353"/>
      <c r="F24" s="353"/>
      <c r="G24" s="353"/>
      <c r="H24" s="353"/>
      <c r="I24" s="353"/>
      <c r="J24" s="353"/>
      <c r="K24" s="353"/>
      <c r="L24" s="353"/>
      <c r="M24" s="353"/>
      <c r="N24" s="353"/>
      <c r="O24" s="353"/>
      <c r="P24" s="353"/>
      <c r="Q24" s="353"/>
    </row>
    <row r="25" spans="1:17">
      <c r="A25" s="353"/>
      <c r="B25" s="358" t="str">
        <f>IF('Język - Language'!$B$30="Polski","³ Format dostępny na wybranych serwisach","³ Available only in selected sites")</f>
        <v>³ Format dostępny na wybranych serwisach</v>
      </c>
      <c r="C25" s="353"/>
      <c r="D25" s="353"/>
      <c r="E25" s="353"/>
      <c r="F25" s="353"/>
      <c r="G25" s="353"/>
      <c r="H25" s="353"/>
      <c r="I25" s="353"/>
      <c r="J25" s="353"/>
      <c r="K25" s="353"/>
      <c r="L25" s="353"/>
      <c r="M25" s="353"/>
      <c r="N25" s="353"/>
      <c r="O25" s="353"/>
      <c r="P25" s="353"/>
      <c r="Q25" s="353"/>
    </row>
    <row r="26" spans="1:17" s="353" customFormat="1">
      <c r="B26" s="358" t="str">
        <f>IF('Język - Language'!$B$30="Polski","⁴ +20% za emisję video z kodów emisyjnych","⁴ +20% za emisję video z kodów emisyjnych")</f>
        <v>⁴ +20% za emisję video z kodów emisyjnych</v>
      </c>
    </row>
  </sheetData>
  <mergeCells count="24">
    <mergeCell ref="B7:B12"/>
    <mergeCell ref="C7:C12"/>
    <mergeCell ref="D7:E8"/>
    <mergeCell ref="F7:G7"/>
    <mergeCell ref="H7:I8"/>
    <mergeCell ref="F8:G8"/>
    <mergeCell ref="D9:E10"/>
    <mergeCell ref="K1:Q3"/>
    <mergeCell ref="D20:Q20"/>
    <mergeCell ref="F9:G9"/>
    <mergeCell ref="H9:I10"/>
    <mergeCell ref="L9:M10"/>
    <mergeCell ref="F10:G10"/>
    <mergeCell ref="J7:K8"/>
    <mergeCell ref="D21:Q21"/>
    <mergeCell ref="D22:Q22"/>
    <mergeCell ref="P7:Q10"/>
    <mergeCell ref="N7:O8"/>
    <mergeCell ref="N11:O11"/>
    <mergeCell ref="N9:O10"/>
    <mergeCell ref="P11:Q11"/>
    <mergeCell ref="J9:K10"/>
    <mergeCell ref="D11:M11"/>
    <mergeCell ref="L7:M8"/>
  </mergeCells>
  <pageMargins left="0.7" right="0.7" top="0.75" bottom="0.75" header="0.3" footer="0.3"/>
  <pageSetup paperSize="256" fitToHeight="0" orientation="landscape" r:id="rId1"/>
  <ignoredErrors>
    <ignoredError sqref="D20 D22 D21"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pageSetUpPr fitToPage="1"/>
  </sheetPr>
  <dimension ref="A1:AA76"/>
  <sheetViews>
    <sheetView zoomScaleNormal="100" workbookViewId="0">
      <pane ySplit="4" topLeftCell="A5" activePane="bottomLeft" state="frozen"/>
      <selection pane="bottomLeft"/>
    </sheetView>
  </sheetViews>
  <sheetFormatPr defaultColWidth="11.42578125" defaultRowHeight="12.75"/>
  <cols>
    <col min="1" max="1" width="5.7109375" style="68" customWidth="1"/>
    <col min="2" max="2" width="20.42578125" style="68" customWidth="1"/>
    <col min="3" max="3" width="70.85546875" style="68" customWidth="1"/>
    <col min="4" max="4" width="43.85546875" style="68" customWidth="1"/>
    <col min="5" max="5" width="5.42578125" style="68" customWidth="1"/>
    <col min="6" max="6" width="33.42578125" style="68" customWidth="1"/>
    <col min="7" max="16384" width="11.42578125" style="68"/>
  </cols>
  <sheetData>
    <row r="1" spans="1:12" ht="12.75" customHeight="1">
      <c r="A1" s="111"/>
      <c r="B1" s="111"/>
      <c r="C1" s="523"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D1" s="523"/>
      <c r="E1" s="73"/>
      <c r="F1" s="73"/>
      <c r="G1" s="353"/>
      <c r="H1" s="353"/>
      <c r="I1" s="353"/>
      <c r="J1" s="353"/>
      <c r="K1" s="353"/>
      <c r="L1" s="353"/>
    </row>
    <row r="2" spans="1:12" ht="12.75" customHeight="1">
      <c r="A2" s="111"/>
      <c r="B2" s="111"/>
      <c r="C2" s="523"/>
      <c r="D2" s="523"/>
      <c r="E2" s="73"/>
      <c r="F2" s="73"/>
      <c r="G2" s="353"/>
      <c r="H2" s="353"/>
      <c r="I2" s="353"/>
      <c r="J2" s="353"/>
      <c r="K2" s="353"/>
      <c r="L2" s="353"/>
    </row>
    <row r="3" spans="1:12" ht="12.75" customHeight="1">
      <c r="A3" s="111"/>
      <c r="B3" s="111"/>
      <c r="C3" s="523"/>
      <c r="D3" s="523"/>
      <c r="E3" s="73"/>
      <c r="F3" s="73"/>
      <c r="G3" s="353"/>
      <c r="H3" s="353"/>
      <c r="I3" s="353"/>
      <c r="J3" s="353"/>
      <c r="K3" s="353"/>
      <c r="L3" s="353"/>
    </row>
    <row r="4" spans="1:12" s="35" customFormat="1" ht="12.75" customHeight="1">
      <c r="A4" s="356"/>
      <c r="B4" s="36" t="str">
        <f>IF('Język - Language'!$B$30="Polski","            Opcje emisji, dopłaty i uwagi dodatkowe","            Extra charges, additional service and further comments")</f>
        <v xml:space="preserve">            Opcje emisji, dopłaty i uwagi dodatkowe</v>
      </c>
      <c r="C4" s="37"/>
      <c r="D4" s="340" t="str">
        <f>IF('Język - Language'!$B$30="Polski","PL","EN")</f>
        <v>PL</v>
      </c>
      <c r="E4" s="356"/>
      <c r="F4" s="356"/>
      <c r="G4" s="356"/>
      <c r="H4" s="356"/>
      <c r="I4" s="356"/>
      <c r="J4" s="356"/>
      <c r="K4" s="356"/>
      <c r="L4" s="356"/>
    </row>
    <row r="5" spans="1:12" ht="12.75" customHeight="1">
      <c r="A5" s="353"/>
      <c r="B5" s="353"/>
      <c r="C5" s="353"/>
      <c r="D5" s="353"/>
      <c r="E5" s="353"/>
      <c r="F5" s="353"/>
      <c r="G5" s="353"/>
      <c r="H5" s="353"/>
      <c r="I5" s="353"/>
      <c r="J5" s="353"/>
      <c r="K5" s="353"/>
      <c r="L5" s="353"/>
    </row>
    <row r="6" spans="1:12" ht="12.75" customHeight="1">
      <c r="A6" s="353"/>
      <c r="B6" s="341"/>
      <c r="C6" s="341"/>
      <c r="D6" s="341"/>
      <c r="E6" s="353"/>
      <c r="F6" s="353"/>
      <c r="G6" s="353"/>
      <c r="H6" s="353"/>
      <c r="I6" s="353"/>
      <c r="J6" s="353"/>
      <c r="K6" s="353"/>
      <c r="L6" s="353"/>
    </row>
    <row r="7" spans="1:12" ht="25.5" customHeight="1">
      <c r="A7" s="341"/>
      <c r="B7" s="1010" t="str">
        <f>IF('Język - Language'!$B$30="Polski","OPCJE EMISJI","ADDITIONAL OPTIONS")</f>
        <v>OPCJE EMISJI</v>
      </c>
      <c r="C7" s="1010"/>
      <c r="D7" s="483" t="str">
        <f>IF('Język - Language'!$B$30="Polski","DOPŁATA","EXTRA CHARGE")</f>
        <v>DOPŁATA</v>
      </c>
      <c r="E7" s="353"/>
      <c r="F7" s="353"/>
      <c r="G7" s="353"/>
      <c r="H7" s="353"/>
      <c r="I7" s="353"/>
      <c r="J7" s="353"/>
      <c r="K7" s="353"/>
      <c r="L7" s="353"/>
    </row>
    <row r="8" spans="1:12" s="277" customFormat="1" ht="12.75" customHeight="1">
      <c r="A8" s="353"/>
      <c r="B8" s="1011" t="str">
        <f>IF('Język - Language'!$B$30="Polski","Umieszczenie reklamy w wybranym przedziale godzinowym","Displaying ad in selected hourly time slots")</f>
        <v>Umieszczenie reklamy w wybranym przedziale godzinowym</v>
      </c>
      <c r="C8" s="1011"/>
      <c r="D8" s="486" t="s">
        <v>192</v>
      </c>
      <c r="E8" s="22"/>
      <c r="F8" s="156"/>
      <c r="G8" s="156"/>
      <c r="H8" s="156"/>
      <c r="I8" s="74"/>
      <c r="J8" s="74"/>
      <c r="K8" s="74"/>
      <c r="L8" s="74"/>
    </row>
    <row r="9" spans="1:12" ht="12.75" customHeight="1">
      <c r="A9" s="353"/>
      <c r="B9" s="566" t="str">
        <f>IF('Język - Language'!$B$30="Polski","Umieszczenie reklamy w wybranym przedziale godzinowym w opcji last minute","Displaying ad in selected hourly time slots (last minute)")</f>
        <v>Umieszczenie reklamy w wybranym przedziale godzinowym w opcji last minute</v>
      </c>
      <c r="C9" s="568"/>
      <c r="D9" s="486" t="s">
        <v>193</v>
      </c>
      <c r="E9" s="22"/>
      <c r="F9" s="156"/>
      <c r="G9" s="156"/>
      <c r="H9" s="156"/>
      <c r="I9" s="74"/>
      <c r="J9" s="74"/>
      <c r="K9" s="74"/>
      <c r="L9" s="74"/>
    </row>
    <row r="10" spans="1:12" ht="12.75" customHeight="1">
      <c r="A10" s="353"/>
      <c r="B10" s="1011" t="str">
        <f>IF('Język - Language'!$B$30="Polski","Ukierunkowanie reklamy do użytkowników wybranej przeglądarki internetowej","Directing ad to users using selected internet browser")</f>
        <v>Ukierunkowanie reklamy do użytkowników wybranej przeglądarki internetowej</v>
      </c>
      <c r="C10" s="1011"/>
      <c r="D10" s="487" t="s">
        <v>192</v>
      </c>
      <c r="E10" s="353"/>
      <c r="F10" s="156"/>
      <c r="G10" s="156"/>
      <c r="H10" s="156"/>
      <c r="I10" s="341"/>
      <c r="J10" s="341"/>
      <c r="K10" s="341"/>
      <c r="L10" s="341"/>
    </row>
    <row r="11" spans="1:12" ht="12.75" customHeight="1">
      <c r="A11" s="353"/>
      <c r="B11" s="1009" t="str">
        <f>IF('Język - Language'!$B$30="Polski","Ukierunkowanie reklamy do użytkowników wybranego systemu operacyjnego","Directing ad to users using selected operational system")</f>
        <v>Ukierunkowanie reklamy do użytkowników wybranego systemu operacyjnego</v>
      </c>
      <c r="C11" s="1009"/>
      <c r="D11" s="487" t="s">
        <v>193</v>
      </c>
      <c r="E11" s="353"/>
      <c r="F11" s="156"/>
      <c r="G11" s="156"/>
      <c r="H11" s="156"/>
      <c r="I11" s="1014"/>
      <c r="J11" s="1014"/>
      <c r="K11" s="1014"/>
      <c r="L11" s="75"/>
    </row>
    <row r="12" spans="1:12" ht="12.75" customHeight="1">
      <c r="A12" s="353"/>
      <c r="B12" s="781" t="str">
        <f>IF('Język - Language'!$B$30="Polski","Ukierunkowanie reklamy do użytkowników wybranej marki lub modelu telefonu","Directing ad to users of selected brand or type of cell phone")</f>
        <v>Ukierunkowanie reklamy do użytkowników wybranej marki lub modelu telefonu</v>
      </c>
      <c r="C12" s="781"/>
      <c r="D12" s="487" t="s">
        <v>192</v>
      </c>
      <c r="E12" s="353"/>
      <c r="F12" s="156"/>
      <c r="G12" s="156"/>
      <c r="H12" s="156"/>
      <c r="I12" s="1014"/>
      <c r="J12" s="1014"/>
      <c r="K12" s="1014"/>
      <c r="L12" s="75"/>
    </row>
    <row r="13" spans="1:12" ht="12.75" customHeight="1">
      <c r="A13" s="353"/>
      <c r="B13" s="1009" t="str">
        <f>IF('Język - Language'!$B$30="Polski","Ograniczenie ilości odsłon reklamy do pojedynczego użytkownika","Capping ad to single users")</f>
        <v>Ograniczenie ilości odsłon reklamy do pojedynczego użytkownika</v>
      </c>
      <c r="C13" s="1009"/>
      <c r="D13" s="487" t="s">
        <v>193</v>
      </c>
      <c r="E13" s="22"/>
      <c r="F13" s="156"/>
      <c r="G13" s="156"/>
      <c r="H13" s="156"/>
      <c r="I13" s="1014"/>
      <c r="J13" s="1014"/>
      <c r="K13" s="1014"/>
      <c r="L13" s="75"/>
    </row>
    <row r="14" spans="1:12" ht="12.75" customHeight="1">
      <c r="A14" s="353"/>
      <c r="B14" s="566" t="str">
        <f>IF('Język - Language'!$B$30="Polski","Targetowanie po operatorach (Play, Plus, T-mobile, Orange)","Directing ad to users who use Play, Plus, T-mobile or Orange provider ")</f>
        <v>Targetowanie po operatorach (Play, Plus, T-mobile, Orange)</v>
      </c>
      <c r="C14" s="568"/>
      <c r="D14" s="487" t="s">
        <v>191</v>
      </c>
      <c r="E14" s="353"/>
      <c r="F14" s="156"/>
      <c r="G14" s="156"/>
      <c r="H14" s="156"/>
      <c r="I14" s="1014"/>
      <c r="J14" s="1014"/>
      <c r="K14" s="1014"/>
      <c r="L14" s="75"/>
    </row>
    <row r="15" spans="1:12" ht="12.75" customHeight="1">
      <c r="A15" s="353"/>
      <c r="B15" s="566" t="str">
        <f>IF('Język - Language'!$B$30="Polski","Targetowanie po dostawcy Internetu (tylko display, wymagane 10 dni roboczych na przygotowanie)","Directing ad to users who use selected internet provider (applicable to display only; 10 working days earlier)")</f>
        <v>Targetowanie po dostawcy Internetu (tylko display, wymagane 10 dni roboczych na przygotowanie)</v>
      </c>
      <c r="C15" s="568"/>
      <c r="D15" s="487" t="s">
        <v>186</v>
      </c>
      <c r="E15" s="353"/>
      <c r="F15" s="156"/>
      <c r="G15" s="156"/>
      <c r="H15" s="156"/>
      <c r="I15" s="490"/>
      <c r="J15" s="490"/>
      <c r="K15" s="490"/>
      <c r="L15" s="75"/>
    </row>
    <row r="16" spans="1:12" ht="12.75" customHeight="1">
      <c r="A16" s="353"/>
      <c r="B16" s="1012" t="str">
        <f>IF('Język - Language'!$B$30="Polski","Wideo w kreacji ","Adding video in creative")</f>
        <v xml:space="preserve">Wideo w kreacji </v>
      </c>
      <c r="C16" s="1012"/>
      <c r="D16" s="487" t="s">
        <v>191</v>
      </c>
      <c r="E16" s="22"/>
      <c r="F16" s="156"/>
      <c r="G16" s="156"/>
      <c r="H16" s="156"/>
      <c r="I16" s="1013"/>
      <c r="J16" s="1013"/>
      <c r="K16" s="1013"/>
      <c r="L16" s="75"/>
    </row>
    <row r="17" spans="2:12" ht="12.75" customHeight="1">
      <c r="B17" s="1012" t="str">
        <f>IF('Język - Language'!$B$30="Polski","Gwarancja pierwszej pozycji w bloku reklamowym","A guarantee of the first ad position in advertising/placement block")</f>
        <v>Gwarancja pierwszej pozycji w bloku reklamowym</v>
      </c>
      <c r="C17" s="1012"/>
      <c r="D17" s="487" t="s">
        <v>194</v>
      </c>
      <c r="E17" s="22"/>
      <c r="F17" s="156"/>
      <c r="G17" s="156"/>
      <c r="H17" s="156"/>
      <c r="I17" s="492"/>
      <c r="J17" s="492"/>
      <c r="K17" s="492"/>
      <c r="L17" s="75"/>
    </row>
    <row r="18" spans="2:12" ht="12.75" customHeight="1">
      <c r="B18" s="1012" t="str">
        <f>IF('Język - Language'!$B$30="Polski","Emisja wyłącznie na wybranej części serwisu","Displaying ad in selected pages of a given site")</f>
        <v>Emisja wyłącznie na wybranej części serwisu</v>
      </c>
      <c r="C18" s="1012"/>
      <c r="D18" s="487" t="s">
        <v>191</v>
      </c>
      <c r="E18" s="22"/>
      <c r="F18" s="156"/>
      <c r="G18" s="156"/>
      <c r="H18" s="156"/>
      <c r="I18" s="1013"/>
      <c r="J18" s="1013"/>
      <c r="K18" s="1013"/>
      <c r="L18" s="75"/>
    </row>
    <row r="19" spans="2:12" ht="12.75" customHeight="1">
      <c r="B19" s="566" t="str">
        <f>IF('Język - Language'!$B$30="Polski","Klikalna / animowana tapeta","Clicable / animated watermark")</f>
        <v>Klikalna / animowana tapeta</v>
      </c>
      <c r="C19" s="568"/>
      <c r="D19" s="487" t="s">
        <v>191</v>
      </c>
      <c r="E19" s="353"/>
      <c r="F19" s="156"/>
      <c r="G19" s="156"/>
      <c r="H19" s="156"/>
      <c r="I19" s="1014"/>
      <c r="J19" s="1014"/>
      <c r="K19" s="1014"/>
      <c r="L19" s="75"/>
    </row>
    <row r="20" spans="2:12" ht="12.75" customHeight="1">
      <c r="B20" s="1012" t="str">
        <f>IF('Język - Language'!$B$30="Polski","Wyświetlanie kreacji reklamowych w określonej sekwencji","Displaying ads sequentionally")</f>
        <v>Wyświetlanie kreacji reklamowych w określonej sekwencji</v>
      </c>
      <c r="C20" s="1012"/>
      <c r="D20" s="487" t="s">
        <v>192</v>
      </c>
      <c r="E20" s="22"/>
      <c r="F20" s="156"/>
      <c r="G20" s="156"/>
      <c r="H20" s="156"/>
      <c r="I20" s="1014"/>
      <c r="J20" s="1014"/>
      <c r="K20" s="1014"/>
      <c r="L20" s="75"/>
    </row>
    <row r="21" spans="2:12" ht="12.75" customHeight="1">
      <c r="B21" s="1009" t="str">
        <f>IF('Język - Language'!$B$30="Polski","Logo drugiego klienta w kreacji","Adding second brand in a creative")</f>
        <v>Logo drugiego klienta w kreacji</v>
      </c>
      <c r="C21" s="1009"/>
      <c r="D21" s="487" t="s">
        <v>195</v>
      </c>
      <c r="E21" s="353"/>
      <c r="F21" s="156"/>
      <c r="G21" s="156"/>
      <c r="H21" s="156"/>
      <c r="I21" s="1014"/>
      <c r="J21" s="1014"/>
      <c r="K21" s="1014"/>
      <c r="L21" s="75"/>
    </row>
    <row r="22" spans="2:12" ht="12.75" customHeight="1">
      <c r="B22" s="781" t="str">
        <f>IF('Język - Language'!$B$30="Polski","Każde następne logo w kreacji","Further brands in a creative")</f>
        <v>Każde następne logo w kreacji</v>
      </c>
      <c r="C22" s="781"/>
      <c r="D22" s="487" t="s">
        <v>192</v>
      </c>
      <c r="E22" s="353"/>
      <c r="F22" s="156"/>
      <c r="G22" s="156"/>
      <c r="H22" s="156"/>
      <c r="I22" s="1014"/>
      <c r="J22" s="1014"/>
      <c r="K22" s="1014"/>
      <c r="L22" s="341"/>
    </row>
    <row r="23" spans="2:12" ht="12.75" customHeight="1">
      <c r="B23" s="1009" t="str">
        <f>IF('Język - Language'!$B$30="Polski","Przekroczenie wagi kreacji za każdy procent przekroczenia","Exceeding the ad weight for each per cent in excess")</f>
        <v>Przekroczenie wagi kreacji za każdy procent przekroczenia</v>
      </c>
      <c r="C23" s="1009"/>
      <c r="D23" s="487" t="s">
        <v>196</v>
      </c>
      <c r="E23" s="76"/>
      <c r="F23" s="156"/>
      <c r="G23" s="156"/>
      <c r="H23" s="156"/>
      <c r="I23" s="341"/>
      <c r="J23" s="341"/>
      <c r="K23" s="341"/>
      <c r="L23" s="341"/>
    </row>
    <row r="24" spans="2:12" ht="12.75" customHeight="1">
      <c r="B24" s="1009" t="str">
        <f>IF('Język - Language'!$B$30="Polski","Scrollowanie i expandowanie formy reklamowej","Scrolling and expanding of ads ")</f>
        <v>Scrollowanie i expandowanie formy reklamowej</v>
      </c>
      <c r="C24" s="1009"/>
      <c r="D24" s="487" t="s">
        <v>186</v>
      </c>
      <c r="E24" s="22"/>
      <c r="F24" s="156"/>
      <c r="G24" s="156"/>
      <c r="H24" s="156"/>
      <c r="I24" s="353"/>
      <c r="J24" s="353"/>
      <c r="K24" s="353"/>
      <c r="L24" s="353"/>
    </row>
    <row r="25" spans="2:12" s="129" customFormat="1" ht="12.75" customHeight="1">
      <c r="B25" s="566" t="str">
        <f>IF('Język - Language'!$B$30="Polski","Scroller, slider, paralaxa w kreacji","Scroller, slider, parallax in a creative")</f>
        <v>Scroller, slider, paralaxa w kreacji</v>
      </c>
      <c r="C25" s="568"/>
      <c r="D25" s="487" t="s">
        <v>191</v>
      </c>
      <c r="E25" s="22"/>
      <c r="F25" s="156"/>
      <c r="G25" s="156"/>
      <c r="H25" s="156"/>
      <c r="I25" s="353"/>
      <c r="J25" s="353"/>
      <c r="K25" s="353"/>
      <c r="L25" s="353"/>
    </row>
    <row r="26" spans="2:12" ht="12.75" customHeight="1">
      <c r="B26" s="1009" t="str">
        <f>IF('Język - Language'!$B$30="Polski","Mega formaty","Mega Formats")</f>
        <v>Mega formaty</v>
      </c>
      <c r="C26" s="1009"/>
      <c r="D26" s="294" t="str">
        <f>IF('Język - Language'!$B$30="Polski","+50% do ceny formy podstawowej","+50% to basic format price")</f>
        <v>+50% do ceny formy podstawowej</v>
      </c>
      <c r="E26" s="353"/>
      <c r="F26" s="156"/>
      <c r="G26" s="156"/>
      <c r="H26" s="156"/>
      <c r="I26" s="353"/>
      <c r="J26" s="353"/>
      <c r="K26" s="353"/>
      <c r="L26" s="353"/>
    </row>
    <row r="27" spans="2:12" ht="12.75" customHeight="1">
      <c r="B27" s="1012" t="str">
        <f>IF('Język - Language'!$B$30="Polski","Połączenie dwóch form reklamowych","Mixing two ads")</f>
        <v>Połączenie dwóch form reklamowych</v>
      </c>
      <c r="C27" s="1012"/>
      <c r="D27" s="294" t="str">
        <f>IF('Język - Language'!$B$30="Polski","łącznie 150% ceny droższej formy","total of 150% of the price of most expensive format")</f>
        <v>łącznie 150% ceny droższej formy</v>
      </c>
      <c r="E27" s="353"/>
      <c r="F27" s="156"/>
      <c r="G27" s="156"/>
      <c r="H27" s="156"/>
      <c r="I27" s="353"/>
      <c r="J27" s="353"/>
      <c r="K27" s="353"/>
      <c r="L27" s="353"/>
    </row>
    <row r="28" spans="2:12" ht="12.75" customHeight="1">
      <c r="B28" s="448" t="str">
        <f>IF('Język - Language'!$B$30="Polski","Site-takeover","Site-takeover")</f>
        <v>Site-takeover</v>
      </c>
      <c r="C28" s="449"/>
      <c r="D28" s="294" t="s">
        <v>186</v>
      </c>
      <c r="E28" s="353"/>
      <c r="F28" s="156"/>
      <c r="G28" s="156"/>
      <c r="H28" s="156"/>
      <c r="I28" s="353"/>
      <c r="J28" s="353"/>
      <c r="K28" s="353"/>
      <c r="L28" s="353"/>
    </row>
    <row r="29" spans="2:12" ht="12.75" customHeight="1">
      <c r="B29" s="831" t="str">
        <f>IF('Język - Language'!$B$30="Polski","Zmiana kreacji w trakcie trwania kampanii display i w mailingu","Changing creative in display and mailing")</f>
        <v>Zmiana kreacji w trakcie trwania kampanii display i w mailingu</v>
      </c>
      <c r="C29" s="832"/>
      <c r="D29" s="295" t="str">
        <f>IF('Język - Language'!$B$30="Polski","+10% za każdą kreację","+10% for each creative")</f>
        <v>+10% za każdą kreację</v>
      </c>
      <c r="E29" s="353"/>
      <c r="F29" s="156"/>
      <c r="G29" s="156"/>
      <c r="H29" s="156"/>
      <c r="I29" s="353"/>
      <c r="J29" s="353"/>
      <c r="K29" s="353"/>
      <c r="L29" s="353"/>
    </row>
    <row r="30" spans="2:12" s="283" customFormat="1" ht="12.75" customHeight="1">
      <c r="B30" s="829" t="str">
        <f>IF('Język - Language'!$B$30="Polski","Pre-Order - rezerwacja na WP SG przed oficjalnym otwarciem rezerwatora na kolejny kwartał","Pre-Order - prior reservation (a guarantee od emission day) on the WP HP")</f>
        <v>Pre-Order - rezerwacja na WP SG przed oficjalnym otwarciem rezerwatora na kolejny kwartał</v>
      </c>
      <c r="C30" s="830"/>
      <c r="D30" s="335" t="s">
        <v>192</v>
      </c>
      <c r="E30" s="353"/>
      <c r="F30" s="156"/>
      <c r="G30" s="156"/>
      <c r="H30" s="156"/>
      <c r="I30" s="353"/>
      <c r="J30" s="353"/>
      <c r="K30" s="353"/>
      <c r="L30" s="353"/>
    </row>
    <row r="31" spans="2:12" s="118" customFormat="1" ht="12.75" customHeight="1">
      <c r="B31" s="1015" t="str">
        <f>IF('Język - Language'!$B$30="Polski","Wydłużenie spotu CPV powyżej standardowej długości","Extension of time of Instream Video Ad")</f>
        <v>Wydłużenie spotu CPV powyżej standardowej długości</v>
      </c>
      <c r="C31" s="1016"/>
      <c r="D31" s="296"/>
      <c r="E31" s="353"/>
      <c r="F31" s="70"/>
      <c r="G31" s="353"/>
      <c r="H31" s="353"/>
      <c r="I31" s="353"/>
      <c r="J31" s="353"/>
      <c r="K31" s="353"/>
      <c r="L31" s="353"/>
    </row>
    <row r="32" spans="2:12" s="118" customFormat="1" ht="12.75" customHeight="1">
      <c r="B32" s="297"/>
      <c r="C32" s="298" t="str">
        <f>IF('Język - Language'!$B$30="Polski",CONCATENATE("do 35",CHAR(34)),CONCATENATE("up to 35",CHAR(34)))</f>
        <v>do 35"</v>
      </c>
      <c r="D32" s="296" t="s">
        <v>197</v>
      </c>
      <c r="E32" s="353"/>
      <c r="F32" s="70"/>
      <c r="G32" s="353"/>
      <c r="H32" s="353"/>
      <c r="I32" s="353"/>
      <c r="J32" s="353"/>
      <c r="K32" s="353"/>
      <c r="L32" s="353"/>
    </row>
    <row r="33" spans="1:6" s="118" customFormat="1" ht="12.75" customHeight="1">
      <c r="A33" s="353"/>
      <c r="B33" s="297"/>
      <c r="C33" s="298" t="str">
        <f>IF('Język - Language'!$B$30="Polski",CONCATENATE("do 40",CHAR(34)),CONCATENATE("up to 40",CHAR(34)))</f>
        <v>do 40"</v>
      </c>
      <c r="D33" s="296" t="s">
        <v>192</v>
      </c>
      <c r="E33" s="353"/>
      <c r="F33" s="70"/>
    </row>
    <row r="34" spans="1:6" s="118" customFormat="1" ht="12.75" customHeight="1">
      <c r="A34" s="353"/>
      <c r="B34" s="297"/>
      <c r="C34" s="298" t="str">
        <f>IF('Język - Language'!$B$30="Polski",CONCATENATE("do 45",CHAR(34)),CONCATENATE("up to 45",CHAR(34)))</f>
        <v>do 45"</v>
      </c>
      <c r="D34" s="296" t="s">
        <v>195</v>
      </c>
      <c r="E34" s="353"/>
      <c r="F34" s="70"/>
    </row>
    <row r="35" spans="1:6" s="118" customFormat="1" ht="12.75" customHeight="1">
      <c r="A35" s="353"/>
      <c r="B35" s="297"/>
      <c r="C35" s="298" t="str">
        <f>IF('Język - Language'!$B$30="Polski",CONCATENATE("do 50",CHAR(34)),CONCATENATE("up to 50",CHAR(34)))</f>
        <v>do 50"</v>
      </c>
      <c r="D35" s="296" t="s">
        <v>191</v>
      </c>
      <c r="E35" s="353"/>
      <c r="F35" s="70"/>
    </row>
    <row r="36" spans="1:6" s="118" customFormat="1" ht="12.75" customHeight="1">
      <c r="A36" s="353"/>
      <c r="B36" s="297"/>
      <c r="C36" s="298" t="str">
        <f>IF('Język - Language'!$B$30="Polski",CONCATENATE("do 55",CHAR(34)),CONCATENATE("up to 55",CHAR(34)))</f>
        <v>do 55"</v>
      </c>
      <c r="D36" s="296" t="s">
        <v>198</v>
      </c>
      <c r="E36" s="353"/>
      <c r="F36" s="70"/>
    </row>
    <row r="37" spans="1:6" s="118" customFormat="1" ht="12.75" customHeight="1">
      <c r="A37" s="353"/>
      <c r="B37" s="297"/>
      <c r="C37" s="298" t="str">
        <f>IF('Język - Language'!$B$30="Polski",CONCATENATE("do 60",CHAR(34)),CONCATENATE("up to 60",CHAR(34)))</f>
        <v>do 60"</v>
      </c>
      <c r="D37" s="299" t="s">
        <v>186</v>
      </c>
      <c r="E37" s="353"/>
      <c r="F37" s="70"/>
    </row>
    <row r="38" spans="1:6" ht="12.75" customHeight="1">
      <c r="A38" s="353"/>
      <c r="B38" s="1017" t="str">
        <f>IF('Język - Language'!$B$30="Polski","Reklama piwa","Beer advertising")</f>
        <v>Reklama piwa</v>
      </c>
      <c r="C38" s="1017"/>
      <c r="D38" s="301" t="s">
        <v>199</v>
      </c>
      <c r="E38" s="353"/>
      <c r="F38" s="353"/>
    </row>
    <row r="39" spans="1:6" ht="12.75" customHeight="1">
      <c r="A39" s="353"/>
      <c r="B39" s="781" t="str">
        <f>IF('Język - Language'!$B$30="Polski","Targetowanie demograficzne","Demographic targeting")</f>
        <v>Targetowanie demograficzne</v>
      </c>
      <c r="C39" s="781"/>
      <c r="D39" s="294" t="str">
        <f>IF('Język - Language'!$B$30="Polski","+25% za każde kryterium","+25% for each criterion")</f>
        <v>+25% za każde kryterium</v>
      </c>
      <c r="E39" s="353"/>
      <c r="F39" s="77"/>
    </row>
    <row r="40" spans="1:6" ht="12.75" customHeight="1">
      <c r="A40" s="353"/>
      <c r="B40" s="1012" t="str">
        <f>IF('Język - Language'!$B$30="Polski","Targetowanie geograficzne","Geographic targeting")</f>
        <v>Targetowanie geograficzne</v>
      </c>
      <c r="C40" s="1012"/>
      <c r="D40" s="294" t="str">
        <f>IF('Język - Language'!$B$30="Polski","+50% za każde kryterium","+50% for each criterion")</f>
        <v>+50% za każde kryterium</v>
      </c>
      <c r="E40" s="353"/>
      <c r="F40" s="130"/>
    </row>
    <row r="41" spans="1:6" s="94" customFormat="1" ht="12.75" customHeight="1">
      <c r="A41" s="353"/>
      <c r="B41" s="1009" t="str">
        <f>IF('Język - Language'!$B$30="Polski","Targetowanie po kategoriach IAB (na wybranej powierzchni)","IAB categories targeting")</f>
        <v>Targetowanie po kategoriach IAB (na wybranej powierzchni)</v>
      </c>
      <c r="C41" s="1009"/>
      <c r="D41" s="294" t="str">
        <f>IF('Język - Language'!$B$30="Polski","+25% za każde kryterium","+25% for each criterion")</f>
        <v>+25% za każde kryterium</v>
      </c>
      <c r="E41" s="353"/>
      <c r="F41" s="78"/>
    </row>
    <row r="42" spans="1:6" ht="12.75" customHeight="1">
      <c r="A42" s="353"/>
      <c r="B42" s="1009" t="str">
        <f>IF('Język - Language'!$B$30="Polski","Retargetowanie","Retargeting")</f>
        <v>Retargetowanie</v>
      </c>
      <c r="C42" s="1009"/>
      <c r="D42" s="302" t="s">
        <v>186</v>
      </c>
      <c r="E42" s="22"/>
      <c r="F42" s="353"/>
    </row>
    <row r="43" spans="1:6" ht="12.75" customHeight="1">
      <c r="A43" s="353"/>
      <c r="B43" s="1012" t="str">
        <f>IF('Język - Language'!$B$30="Polski","Wybór emisji tylko na jednym portalu","Selecting either WP or O2 (display and mailing)")</f>
        <v>Wybór emisji tylko na jednym portalu</v>
      </c>
      <c r="C43" s="1012"/>
      <c r="D43" s="302" t="s">
        <v>192</v>
      </c>
      <c r="E43" s="353"/>
      <c r="F43" s="353"/>
    </row>
    <row r="44" spans="1:6" ht="12.75" customHeight="1">
      <c r="A44" s="353"/>
      <c r="B44" s="1012" t="str">
        <f>IF('Język - Language'!$B$30="Polski","Optymalizacja big data w mailingach","Big data optimalization")</f>
        <v>Optymalizacja big data w mailingach</v>
      </c>
      <c r="C44" s="1012"/>
      <c r="D44" s="303" t="s">
        <v>191</v>
      </c>
      <c r="E44" s="353"/>
      <c r="F44" s="353"/>
    </row>
    <row r="45" spans="1:6" ht="25.5" customHeight="1">
      <c r="A45" s="353"/>
      <c r="B45" s="826" t="str">
        <f>IF('Język - Language'!$B$30="Polski","DODATKOWE OPCJE W MAILINGU","MAILING ADDITIONAL OPTIONS")</f>
        <v>DODATKOWE OPCJE W MAILINGU</v>
      </c>
      <c r="C45" s="826"/>
      <c r="D45" s="446" t="str">
        <f>IF('Język - Language'!$B$30="Polski","DOPŁATA","EXTRA CHARGE")</f>
        <v>DOPŁATA</v>
      </c>
      <c r="E45" s="353"/>
      <c r="F45" s="353"/>
    </row>
    <row r="46" spans="1:6" ht="12.75" customHeight="1">
      <c r="A46" s="353"/>
      <c r="B46" s="781" t="str">
        <f>IF('Język - Language'!$B$30="Polski","Mailing do bazy użytkowników wybranego portalu (tylko o2.pl lub tylko WP.pl)","Advertising mailing to o2 email services only or WP email services only")</f>
        <v>Mailing do bazy użytkowników wybranego portalu (tylko o2.pl lub tylko WP.pl)</v>
      </c>
      <c r="C46" s="781"/>
      <c r="D46" s="300" t="s">
        <v>192</v>
      </c>
      <c r="E46" s="353"/>
      <c r="F46" s="353"/>
    </row>
    <row r="47" spans="1:6" ht="12.75" customHeight="1">
      <c r="A47" s="353"/>
      <c r="B47" s="566" t="str">
        <f>IF('Język - Language'!$B$30="Polski","Odznaczanie bazy mailingowej","Odznaczanie bazy mailingowej")</f>
        <v>Odznaczanie bazy mailingowej</v>
      </c>
      <c r="C47" s="568"/>
      <c r="D47" s="304" t="s">
        <v>191</v>
      </c>
      <c r="E47" s="353"/>
      <c r="F47" s="70"/>
    </row>
    <row r="48" spans="1:6" s="132" customFormat="1" ht="12.75" customHeight="1">
      <c r="A48" s="199"/>
      <c r="B48" s="566" t="str">
        <f>IF('Język - Language'!$B$30="Polski","Wysyłka mailingu w częściach - za drugą i każdą następną część","Mailing in parts - for second and every next part")</f>
        <v>Wysyłka mailingu w częściach - za drugą i każdą następną część</v>
      </c>
      <c r="C48" s="568"/>
      <c r="D48" s="302" t="s">
        <v>192</v>
      </c>
      <c r="E48" s="353"/>
      <c r="F48" s="353"/>
    </row>
    <row r="49" spans="1:7" s="132" customFormat="1" ht="12.75" customHeight="1">
      <c r="A49" s="199"/>
      <c r="B49" s="566" t="str">
        <f>IF('Język - Language'!$B$30="Polski","Retargetowanie mailingu","Retargeted mailing")</f>
        <v>Retargetowanie mailingu</v>
      </c>
      <c r="C49" s="568"/>
      <c r="D49" s="302" t="s">
        <v>186</v>
      </c>
      <c r="E49" s="353"/>
      <c r="F49" s="353"/>
      <c r="G49" s="353"/>
    </row>
    <row r="50" spans="1:7" s="132" customFormat="1" ht="12.75" customHeight="1">
      <c r="A50" s="199"/>
      <c r="B50" s="566" t="str">
        <f>IF('Język - Language'!$B$30="Polski","Personalizacja mailingu WP (login, imię, nazwisko)","Personalization in WP Mailing (login, name, surname)")</f>
        <v>Personalizacja mailingu WP (login, imię, nazwisko)</v>
      </c>
      <c r="C50" s="568"/>
      <c r="D50" s="302" t="s">
        <v>191</v>
      </c>
      <c r="E50" s="353"/>
      <c r="F50" s="353"/>
      <c r="G50" s="353"/>
    </row>
    <row r="51" spans="1:7" s="132" customFormat="1" ht="12.75" customHeight="1">
      <c r="A51" s="341"/>
      <c r="B51" s="566" t="str">
        <f>IF('Język - Language'!$B$30="Polski","Dopłata za TG dotyczący produktów alkoholowych (inne niż piwo)","Special target to advertise alcoholic products (other than beer)")</f>
        <v>Dopłata za TG dotyczący produktów alkoholowych (inne niż piwo)</v>
      </c>
      <c r="C51" s="568"/>
      <c r="D51" s="302" t="s">
        <v>191</v>
      </c>
      <c r="E51" s="353"/>
      <c r="F51" s="353"/>
      <c r="G51" s="353"/>
    </row>
    <row r="52" spans="1:7" s="132" customFormat="1" ht="12.75" customHeight="1">
      <c r="A52" s="341"/>
      <c r="B52" s="566" t="str">
        <f>IF('Język - Language'!$B$30="Polski","Podświetlenie / wyróżnienie","Backlighting / highlighting")</f>
        <v>Podświetlenie / wyróżnienie</v>
      </c>
      <c r="C52" s="568"/>
      <c r="D52" s="302" t="s">
        <v>186</v>
      </c>
      <c r="E52" s="353"/>
      <c r="F52" s="353"/>
      <c r="G52" s="353"/>
    </row>
    <row r="53" spans="1:7" s="132" customFormat="1" ht="12.75" customHeight="1">
      <c r="A53" s="341"/>
      <c r="B53" s="566" t="str">
        <f>IF('Język - Language'!$B$30="Polski","Mailing wysyłany na urządzenia mobilne","Mailing dispatched only to mobile devices")</f>
        <v>Mailing wysyłany na urządzenia mobilne</v>
      </c>
      <c r="C53" s="568"/>
      <c r="D53" s="302" t="s">
        <v>186</v>
      </c>
      <c r="E53" s="353"/>
      <c r="F53" s="353"/>
      <c r="G53" s="353"/>
    </row>
    <row r="54" spans="1:7" s="132" customFormat="1" ht="12.75" customHeight="1">
      <c r="A54" s="341"/>
      <c r="B54" s="566" t="str">
        <f>IF('Język - Language'!$B$30="Polski","Dopłata za dodatkowe 10kB","Additional 10kB of ad weight")</f>
        <v>Dopłata za dodatkowe 10kB</v>
      </c>
      <c r="C54" s="568"/>
      <c r="D54" s="302" t="s">
        <v>200</v>
      </c>
      <c r="E54" s="353"/>
      <c r="F54" s="353"/>
      <c r="G54" s="353"/>
    </row>
    <row r="55" spans="1:7" s="132" customFormat="1" ht="12.75" customHeight="1">
      <c r="A55" s="341"/>
      <c r="B55" s="566" t="str">
        <f>IF('Język - Language'!$B$30="Polski","Video Mailing do 1,5 MB","Video Mailing up to 1,5 MB")</f>
        <v>Video Mailing do 1,5 MB</v>
      </c>
      <c r="C55" s="568"/>
      <c r="D55" s="302" t="s">
        <v>191</v>
      </c>
      <c r="E55" s="353"/>
      <c r="F55" s="353"/>
      <c r="G55" s="353"/>
    </row>
    <row r="56" spans="1:7" s="132" customFormat="1" ht="12.75" customHeight="1">
      <c r="A56" s="341"/>
      <c r="B56" s="831" t="str">
        <f>IF('Język - Language'!$B$30="Polski","Optymalizacja big data w mailingach","Big data optimization in Mailing")</f>
        <v>Optymalizacja big data w mailingach</v>
      </c>
      <c r="C56" s="832"/>
      <c r="D56" s="305" t="s">
        <v>191</v>
      </c>
      <c r="E56" s="353"/>
      <c r="F56" s="353"/>
      <c r="G56" s="353"/>
    </row>
    <row r="57" spans="1:7" s="132" customFormat="1" ht="12.75" customHeight="1">
      <c r="A57" s="353"/>
      <c r="B57" s="284"/>
      <c r="C57" s="284"/>
      <c r="D57" s="306"/>
      <c r="E57" s="353"/>
      <c r="F57" s="353"/>
      <c r="G57" s="353"/>
    </row>
    <row r="58" spans="1:7">
      <c r="A58" s="341"/>
      <c r="B58" s="1007" t="str">
        <f>IF('Język - Language'!$B$30="Polski","KRYTERIA TARGETOWANIA KAMPANII DISPLAY ORAZ MAILINGU","TARGETING CRITERIA FOR DISPLAY AND MAILING CAMPAIGNS")</f>
        <v>KRYTERIA TARGETOWANIA KAMPANII DISPLAY ORAZ MAILINGU</v>
      </c>
      <c r="C58" s="1007"/>
      <c r="D58" s="1008"/>
      <c r="E58" s="10"/>
      <c r="F58" s="10"/>
      <c r="G58" s="10"/>
    </row>
    <row r="59" spans="1:7" ht="21">
      <c r="A59" s="341"/>
      <c r="B59" s="491" t="str">
        <f>IF('Język - Language'!$B$30="Polski","TARGETOWANIE DEMOGRAFICZNE","DEMOGRAPHIC TARGETING")</f>
        <v>TARGETOWANIE DEMOGRAFICZNE</v>
      </c>
      <c r="C59" s="995" t="str">
        <f>IF('Język - Language'!$B$30="Polski","PARAMETRY TARGETOWANIA","TARGETING PARAMETERS")</f>
        <v>PARAMETRY TARGETOWANIA</v>
      </c>
      <c r="D59" s="996"/>
      <c r="E59" s="11"/>
      <c r="F59" s="11"/>
      <c r="G59" s="11"/>
    </row>
    <row r="60" spans="1:7">
      <c r="A60" s="353"/>
      <c r="B60" s="307" t="str">
        <f>IF('Język - Language'!$B$30="Polski","PŁEĆ","GENDER")</f>
        <v>PŁEĆ</v>
      </c>
      <c r="C60" s="1003" t="str">
        <f>IF('Język - Language'!$B$30="Polski","kobieta, mężczyzna","woman, man")</f>
        <v>kobieta, mężczyzna</v>
      </c>
      <c r="D60" s="1004"/>
      <c r="E60" s="71"/>
      <c r="F60" s="71"/>
      <c r="G60" s="71"/>
    </row>
    <row r="61" spans="1:7">
      <c r="A61" s="353"/>
      <c r="B61" s="308" t="str">
        <f>IF('Język - Language'!$B$30="Polski","WIEK","AGE")</f>
        <v>WIEK</v>
      </c>
      <c r="C61" s="997" t="str">
        <f>IF('Język - Language'!$B$30="Polski","dowolny przedział wiekowy","number of years")</f>
        <v>dowolny przedział wiekowy</v>
      </c>
      <c r="D61" s="998"/>
      <c r="E61" s="71"/>
      <c r="F61" s="71"/>
      <c r="G61" s="71"/>
    </row>
    <row r="62" spans="1:7">
      <c r="A62" s="353"/>
      <c r="B62" s="308" t="str">
        <f>IF('Język - Language'!$B$30="Polski","WYKSZTAŁCENIE","EDUCATION")</f>
        <v>WYKSZTAŁCENIE</v>
      </c>
      <c r="C62" s="1005" t="str">
        <f>IF('Język - Language'!$B$30="Polski","bez wykształcenia, podstawowe, zawodowe, średnie, wyższe","no education, basic, professional, high school, BA / MA")</f>
        <v>bez wykształcenia, podstawowe, zawodowe, średnie, wyższe</v>
      </c>
      <c r="D62" s="1006"/>
      <c r="E62" s="38"/>
      <c r="F62" s="38"/>
      <c r="G62" s="38"/>
    </row>
    <row r="63" spans="1:7" ht="36" customHeight="1">
      <c r="A63" s="353"/>
      <c r="B63" s="308" t="str">
        <f>IF('Język - Language'!$B$30="Polski","ZAWÓD","PROFESSION")</f>
        <v>ZAWÓD</v>
      </c>
      <c r="C63" s="1005" t="str">
        <f>IF('Język - Language'!$B$30="Polski","wyższy urzędnik / kierownik, wolny zawód / specjalista, prywatny przedsiębiorca / biznesmen, rolnik, robotnik, pracownik usług / administracja / technik, gospodyni domowa, student, uczeń, emeryt / rencista, bezrobotny","senior clerk / manager, freelancer / specialist, entrepreneur / businessman, farmer, laborer, services / administration employee / technician, housewife, student, pupil, old age pensioner / sickness pensioner, unemployed")</f>
        <v>wyższy urzędnik / kierownik, wolny zawód / specjalista, prywatny przedsiębiorca / biznesmen, rolnik, robotnik, pracownik usług / administracja / technik, gospodyni domowa, student, uczeń, emeryt / rencista, bezrobotny</v>
      </c>
      <c r="D63" s="1006"/>
      <c r="E63" s="38"/>
      <c r="F63" s="38"/>
      <c r="G63" s="38"/>
    </row>
    <row r="64" spans="1:7" ht="38.25" customHeight="1">
      <c r="A64" s="353"/>
      <c r="B64" s="308" t="str">
        <f>IF('Język - Language'!$B$30="Polski","ZAINTERESOWANIA","INTERESTS")</f>
        <v>ZAINTERESOWANIA</v>
      </c>
      <c r="C64" s="1005" t="str">
        <f>IF('Język - Language'!$B$30="Polski","dom i rodzina, biznes, gry komputerowe, komputery i internet, kultura i sztuka, muzyka, film, książki, motoryzacja, nauka i technika, polityka, podróże, sport, turystyka, zdrowie","family and home, business, computer games, computers and the internet, arts, music, films, books, automotive industry, science and technology, politics, travel, sport, tourism, health")</f>
        <v>dom i rodzina, biznes, gry komputerowe, komputery i internet, kultura i sztuka, muzyka, film, książki, motoryzacja, nauka i technika, polityka, podróże, sport, turystyka, zdrowie</v>
      </c>
      <c r="D64" s="1006"/>
      <c r="E64" s="38"/>
      <c r="F64" s="38"/>
      <c r="G64" s="38"/>
    </row>
    <row r="65" spans="1:27" ht="57" customHeight="1">
      <c r="A65" s="353"/>
      <c r="B65" s="309" t="str">
        <f>IF('Język - Language'!$B$30="Polski","BRANŻA","OCCUPATIONAL AREA")</f>
        <v>BRANŻA</v>
      </c>
      <c r="C65" s="835" t="str">
        <f>CONCATENATE($AA$65,$AA$66)</f>
        <v>budownictwo / architektura, dystrybucja / logistyka, edukacja / badania naukowe, finanse / bankowość / ubezpieczenia, gastronomia / hotelarstwo / turystyka / sport, handel hurtowy i detaliczny, instytucje rządowe i samorządowe, łączność / telekomunikacja, media / kultura i sztuka / rozrywka, medycyna / ochrona zdrowia, produkcja, rachunkowość / audyt, usługi dla firm / ludności, usługi internetowe/komputerowe, usługi prawne / konsulting</v>
      </c>
      <c r="D65" s="836"/>
      <c r="E65" s="38"/>
      <c r="F65" s="38"/>
      <c r="G65" s="38"/>
      <c r="H65" s="353"/>
      <c r="I65" s="353"/>
      <c r="J65" s="353"/>
      <c r="K65" s="353"/>
      <c r="L65" s="353"/>
      <c r="M65" s="353"/>
      <c r="N65" s="353"/>
      <c r="O65" s="353"/>
      <c r="P65" s="353"/>
      <c r="Q65" s="353"/>
      <c r="R65" s="353"/>
      <c r="S65" s="353"/>
      <c r="T65" s="353"/>
      <c r="U65" s="353"/>
      <c r="V65" s="353"/>
      <c r="W65" s="353"/>
      <c r="X65" s="353"/>
      <c r="Y65" s="353"/>
      <c r="Z65" s="353"/>
      <c r="AA65" s="353"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66" spans="1:27" ht="31.5">
      <c r="A66" s="353"/>
      <c r="B66" s="310" t="str">
        <f>IF('Język - Language'!$B$30="Polski","WIELKOŚĆ MIEJSCOWOŚCI* (tylko na serwisach WP)","POPULATION (applicable to WP sites)")</f>
        <v>WIELKOŚĆ MIEJSCOWOŚCI* (tylko na serwisach WP)</v>
      </c>
      <c r="C66" s="1001" t="str">
        <f>IF('Język - Language'!$B$30="Polski","wieś, do 50 tys., 50-100 tys., 100-500 tys., pow. 500 tys.","country, up to 50 k, 50-100 k, 100-500 k, more than 500 k")</f>
        <v>wieś, do 50 tys., 50-100 tys., 100-500 tys., pow. 500 tys.</v>
      </c>
      <c r="D66" s="1002"/>
      <c r="E66" s="38"/>
      <c r="F66" s="38"/>
      <c r="G66" s="38"/>
      <c r="H66" s="353"/>
      <c r="I66" s="353"/>
      <c r="J66" s="353"/>
      <c r="K66" s="353"/>
      <c r="L66" s="353"/>
      <c r="M66" s="353"/>
      <c r="N66" s="353"/>
      <c r="O66" s="353"/>
      <c r="P66" s="353"/>
      <c r="Q66" s="353"/>
      <c r="R66" s="353"/>
      <c r="S66" s="353"/>
      <c r="T66" s="353"/>
      <c r="U66" s="353"/>
      <c r="V66" s="353"/>
      <c r="W66" s="353"/>
      <c r="X66" s="353"/>
      <c r="Y66" s="353"/>
      <c r="Z66" s="353"/>
      <c r="AA66" s="353"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67" spans="1:27" ht="21">
      <c r="A67" s="341"/>
      <c r="B67" s="491" t="str">
        <f>IF('Język - Language'!$B$30="Polski","TARGETOWANIE GEOGRAFICZNE","GEOTARGETING")</f>
        <v>TARGETOWANIE GEOGRAFICZNE</v>
      </c>
      <c r="C67" s="995" t="str">
        <f>IF('Język - Language'!$B$30="Polski","PARAMETRY TARGETOWANIA","TARGETING PARAMETERS")</f>
        <v>PARAMETRY TARGETOWANIA</v>
      </c>
      <c r="D67" s="996"/>
      <c r="E67" s="10"/>
      <c r="F67" s="10"/>
      <c r="G67" s="10"/>
      <c r="H67" s="353"/>
      <c r="I67" s="353"/>
      <c r="J67" s="353"/>
      <c r="K67" s="353"/>
      <c r="L67" s="353"/>
      <c r="M67" s="353"/>
      <c r="N67" s="353"/>
      <c r="O67" s="353"/>
      <c r="P67" s="353"/>
      <c r="Q67" s="353"/>
      <c r="R67" s="353"/>
      <c r="S67" s="353"/>
      <c r="T67" s="353"/>
      <c r="U67" s="353"/>
      <c r="V67" s="353"/>
      <c r="W67" s="353"/>
      <c r="X67" s="353"/>
      <c r="Y67" s="353"/>
      <c r="Z67" s="353"/>
      <c r="AA67" s="353"/>
    </row>
    <row r="68" spans="1:27">
      <c r="A68" s="353"/>
      <c r="B68" s="307" t="str">
        <f>IF('Język - Language'!$B$30="Polski","WOJEWÓDZTWO","PROVINCE")</f>
        <v>WOJEWÓDZTWO</v>
      </c>
      <c r="C68" s="999" t="str">
        <f>IF('Język - Language'!$B$30="Polski","wybrane województwo","selected province")</f>
        <v>wybrane województwo</v>
      </c>
      <c r="D68" s="1000"/>
      <c r="E68" s="72"/>
      <c r="F68" s="72"/>
      <c r="G68" s="72"/>
      <c r="H68" s="353"/>
      <c r="I68" s="353"/>
      <c r="J68" s="353"/>
      <c r="K68" s="353"/>
      <c r="L68" s="353"/>
      <c r="M68" s="353"/>
      <c r="N68" s="353"/>
      <c r="O68" s="353"/>
      <c r="P68" s="353"/>
      <c r="Q68" s="353"/>
      <c r="R68" s="353"/>
      <c r="S68" s="353"/>
      <c r="T68" s="353"/>
      <c r="U68" s="353"/>
      <c r="V68" s="353"/>
      <c r="W68" s="353"/>
      <c r="X68" s="353"/>
      <c r="Y68" s="353"/>
      <c r="Z68" s="353"/>
      <c r="AA68" s="353"/>
    </row>
    <row r="69" spans="1:27">
      <c r="A69" s="353"/>
      <c r="B69" s="308" t="str">
        <f>IF('Język - Language'!$B$30="Polski","MIASTO","CITY")</f>
        <v>MIASTO</v>
      </c>
      <c r="C69" s="993" t="str">
        <f>IF('Język - Language'!$B$30="Polski","wybrane miasto","selected city")</f>
        <v>wybrane miasto</v>
      </c>
      <c r="D69" s="994"/>
      <c r="E69" s="72"/>
      <c r="F69" s="72"/>
      <c r="G69" s="72"/>
      <c r="H69" s="353"/>
      <c r="I69" s="353"/>
      <c r="J69" s="353"/>
      <c r="K69" s="353"/>
      <c r="L69" s="353"/>
      <c r="M69" s="353"/>
      <c r="N69" s="353"/>
      <c r="O69" s="353"/>
      <c r="P69" s="353"/>
      <c r="Q69" s="353"/>
      <c r="R69" s="353"/>
      <c r="S69" s="353"/>
      <c r="T69" s="353"/>
      <c r="U69" s="353"/>
      <c r="V69" s="353"/>
      <c r="W69" s="353"/>
      <c r="X69" s="353"/>
      <c r="Y69" s="353"/>
      <c r="Z69" s="353"/>
      <c r="AA69" s="353"/>
    </row>
    <row r="70" spans="1:27">
      <c r="A70" s="353"/>
      <c r="B70" s="419"/>
      <c r="C70" s="419"/>
      <c r="D70" s="419"/>
      <c r="E70" s="353"/>
      <c r="F70" s="353"/>
      <c r="G70" s="353"/>
      <c r="H70" s="353"/>
      <c r="I70" s="353"/>
      <c r="J70" s="353"/>
      <c r="K70" s="353"/>
      <c r="L70" s="353"/>
      <c r="M70" s="353"/>
      <c r="N70" s="353"/>
      <c r="O70" s="353"/>
      <c r="P70" s="353"/>
      <c r="Q70" s="353"/>
      <c r="R70" s="353"/>
      <c r="S70" s="353"/>
      <c r="T70" s="353"/>
      <c r="U70" s="353"/>
      <c r="V70" s="353"/>
      <c r="W70" s="353"/>
      <c r="X70" s="353"/>
      <c r="Y70" s="353"/>
      <c r="Z70" s="353"/>
      <c r="AA70" s="353"/>
    </row>
    <row r="71" spans="1:27">
      <c r="A71" s="353"/>
      <c r="B71" s="1018"/>
      <c r="C71" s="1018"/>
      <c r="D71" s="1018"/>
      <c r="E71" s="353"/>
      <c r="F71" s="353"/>
      <c r="G71" s="353"/>
      <c r="H71" s="353"/>
      <c r="I71" s="353"/>
      <c r="J71" s="353"/>
      <c r="K71" s="353"/>
      <c r="L71" s="353"/>
      <c r="M71" s="353"/>
      <c r="N71" s="353"/>
      <c r="O71" s="353"/>
      <c r="P71" s="353"/>
      <c r="Q71" s="353"/>
      <c r="R71" s="353"/>
      <c r="S71" s="353"/>
      <c r="T71" s="353"/>
      <c r="U71" s="353"/>
      <c r="V71" s="353"/>
      <c r="W71" s="353"/>
      <c r="X71" s="353"/>
      <c r="Y71" s="353"/>
      <c r="Z71" s="353"/>
      <c r="AA71" s="353"/>
    </row>
    <row r="72" spans="1:27" ht="12.75" customHeight="1">
      <c r="A72" s="353"/>
      <c r="B72" s="992" t="str">
        <f>IF('Język - Language'!$B$30="Polski","1. Kliknięcie w wybraną formę reklamową (poza watermarkiem) powoduje automatyczne przejście do reklamowanego serwisu.","1. Clicking in a selected advertising form (except for a watermark) triggers automatic passing to the advertising site.")</f>
        <v>1. Kliknięcie w wybraną formę reklamową (poza watermarkiem) powoduje automatyczne przejście do reklamowanego serwisu.</v>
      </c>
      <c r="C72" s="992"/>
      <c r="D72" s="992"/>
      <c r="E72" s="353"/>
      <c r="F72" s="353"/>
      <c r="G72" s="353"/>
      <c r="H72" s="353"/>
      <c r="I72" s="353"/>
      <c r="J72" s="353"/>
      <c r="K72" s="353"/>
      <c r="L72" s="353"/>
      <c r="M72" s="353"/>
      <c r="N72" s="353"/>
      <c r="O72" s="353"/>
      <c r="P72" s="353"/>
      <c r="Q72" s="353"/>
      <c r="R72" s="353"/>
      <c r="S72" s="353"/>
      <c r="T72" s="353"/>
      <c r="U72" s="353"/>
      <c r="V72" s="353"/>
      <c r="W72" s="353"/>
      <c r="X72" s="353"/>
      <c r="Y72" s="353"/>
      <c r="Z72" s="353"/>
      <c r="AA72" s="353"/>
    </row>
    <row r="73" spans="1:27" ht="25.5" customHeight="1">
      <c r="A73" s="353"/>
      <c r="B73" s="992" t="str">
        <f>IF('Język - Language'!$B$30="Polski","2. Liczba kontaktów użytkownika z reklamą oraz liczba kliknięć w wybraną formę reklamową jest rejestrowana w statystykach. Statystyki dostępne są “on line” przez 24 godziny na dobę.","2. The number of times a user is exposed to an advertisement and the number of clicks in a selected advertising form is registered in the records. The statistics are available “on line” 24 hours a day.")</f>
        <v>2. Liczba kontaktów użytkownika z reklamą oraz liczba kliknięć w wybraną formę reklamową jest rejestrowana w statystykach. Statystyki dostępne są “on line” przez 24 godziny na dobę.</v>
      </c>
      <c r="C73" s="992"/>
      <c r="D73" s="992"/>
      <c r="E73" s="353"/>
      <c r="F73" s="353"/>
      <c r="G73" s="353"/>
      <c r="H73" s="353"/>
      <c r="I73" s="353"/>
      <c r="J73" s="353"/>
      <c r="K73" s="353"/>
      <c r="L73" s="353"/>
      <c r="M73" s="353"/>
      <c r="N73" s="353"/>
      <c r="O73" s="353"/>
      <c r="P73" s="353"/>
      <c r="Q73" s="353"/>
      <c r="R73" s="353"/>
      <c r="S73" s="353"/>
      <c r="T73" s="353"/>
      <c r="U73" s="353"/>
      <c r="V73" s="353"/>
      <c r="W73" s="353"/>
      <c r="X73" s="353"/>
      <c r="Y73" s="353"/>
      <c r="Z73" s="353"/>
      <c r="AA73" s="353"/>
    </row>
    <row r="74" spans="1:27" ht="25.5" customHeight="1">
      <c r="A74" s="353"/>
      <c r="B74" s="992" t="str">
        <f>IF('Język - Language'!$B$30="Polski","3. Istnieje możliwość, że niektóre serwisy Grupy WP przestaną emitować wybrane formy reklamowe z powodów technicznych. Prosimy o każdorazowe potwierdzenie możliwości emisji reklam w poszczególnych serwisach. ","3. It might happen that certain sites will cease displaying some advertising forms due to technical reasons. This is why the possibility of displaying advertisements in particular sites should be confirmed each and every time.")</f>
        <v xml:space="preserve">3. Istnieje możliwość, że niektóre serwisy Grupy WP przestaną emitować wybrane formy reklamowe z powodów technicznych. Prosimy o każdorazowe potwierdzenie możliwości emisji reklam w poszczególnych serwisach. </v>
      </c>
      <c r="C74" s="992"/>
      <c r="D74" s="992"/>
      <c r="E74" s="353"/>
      <c r="F74" s="353"/>
      <c r="G74" s="353"/>
      <c r="H74" s="353"/>
      <c r="I74" s="353"/>
      <c r="J74" s="353"/>
      <c r="K74" s="353"/>
      <c r="L74" s="353"/>
      <c r="M74" s="353"/>
      <c r="N74" s="353"/>
      <c r="O74" s="353"/>
      <c r="P74" s="353"/>
      <c r="Q74" s="353"/>
      <c r="R74" s="353"/>
      <c r="S74" s="353"/>
      <c r="T74" s="353"/>
      <c r="U74" s="353"/>
      <c r="V74" s="353"/>
      <c r="W74" s="353"/>
      <c r="X74" s="353"/>
      <c r="Y74" s="353"/>
      <c r="Z74" s="353"/>
      <c r="AA74" s="353"/>
    </row>
    <row r="75" spans="1:27" ht="12.75" customHeight="1">
      <c r="A75" s="353"/>
      <c r="B75" s="992" t="str">
        <f>IF('Język - Language'!$B$30="Polski","4. Nośniki muszą spełniać warunki techniczne przedstawione w specyfikacji technicznej, pod rygorem nie przyjęcia materiału do emisji","4. The ad forms must comply with the technical conditions set forth in technical specifications; otherwise the material will not be accepted for displaying.")</f>
        <v>4. Nośniki muszą spełniać warunki techniczne przedstawione w specyfikacji technicznej, pod rygorem nie przyjęcia materiału do emisji</v>
      </c>
      <c r="C75" s="992"/>
      <c r="D75" s="992"/>
      <c r="E75" s="353"/>
      <c r="F75" s="353"/>
      <c r="G75" s="353"/>
      <c r="H75" s="353"/>
      <c r="I75" s="353"/>
      <c r="J75" s="353"/>
      <c r="K75" s="353"/>
      <c r="L75" s="353"/>
      <c r="M75" s="353"/>
      <c r="N75" s="353"/>
      <c r="O75" s="353"/>
      <c r="P75" s="353"/>
      <c r="Q75" s="353"/>
      <c r="R75" s="353"/>
      <c r="S75" s="353"/>
      <c r="T75" s="353"/>
      <c r="U75" s="353"/>
      <c r="V75" s="353"/>
      <c r="W75" s="353"/>
      <c r="X75" s="353"/>
      <c r="Y75" s="353"/>
      <c r="Z75" s="353"/>
      <c r="AA75" s="353"/>
    </row>
    <row r="76" spans="1:27" ht="25.5" customHeight="1">
      <c r="A76" s="353"/>
      <c r="B76" s="992" t="str">
        <f>IF('Język - Language'!$B$30="Polski","5. Dopłata za każde wybrane kryterium targetowania demograficznego to 25% Wyjątek stanowi geotargetowanie – dopłata +50 %  W przypadku wybrania kilku kryteriów, procenty sumują się.","5. Additional payments for each selected demographic targeting criterion are 25%, with the exception of geotargeting (in this particular case the additional payment is +50 %). If a few criteria are selected, the percentage is summed up.")</f>
        <v>5. Dopłata za każde wybrane kryterium targetowania demograficznego to 25% Wyjątek stanowi geotargetowanie – dopłata +50 %  W przypadku wybrania kilku kryteriów, procenty sumują się.</v>
      </c>
      <c r="C76" s="992"/>
      <c r="D76" s="992"/>
      <c r="E76" s="353"/>
      <c r="F76" s="353"/>
      <c r="G76" s="353"/>
      <c r="H76" s="353"/>
      <c r="I76" s="353"/>
      <c r="J76" s="353"/>
      <c r="K76" s="353"/>
      <c r="L76" s="353"/>
      <c r="M76" s="353"/>
      <c r="N76" s="353"/>
      <c r="O76" s="353"/>
      <c r="P76" s="353"/>
      <c r="Q76" s="353"/>
      <c r="R76" s="353"/>
      <c r="S76" s="353"/>
      <c r="T76" s="353"/>
      <c r="U76" s="353"/>
      <c r="V76" s="353"/>
      <c r="W76" s="353"/>
      <c r="X76" s="353"/>
      <c r="Y76" s="353"/>
      <c r="Z76" s="353"/>
      <c r="AA76" s="353"/>
    </row>
  </sheetData>
  <mergeCells count="72">
    <mergeCell ref="I11:K11"/>
    <mergeCell ref="I12:K12"/>
    <mergeCell ref="I21:K21"/>
    <mergeCell ref="B43:C43"/>
    <mergeCell ref="I14:K14"/>
    <mergeCell ref="B17:C17"/>
    <mergeCell ref="I13:K13"/>
    <mergeCell ref="B20:C20"/>
    <mergeCell ref="B41:C41"/>
    <mergeCell ref="B14:C14"/>
    <mergeCell ref="B30:C30"/>
    <mergeCell ref="B12:C12"/>
    <mergeCell ref="B27:C27"/>
    <mergeCell ref="B16:C16"/>
    <mergeCell ref="B13:C13"/>
    <mergeCell ref="B18:C18"/>
    <mergeCell ref="B76:D76"/>
    <mergeCell ref="B71:D71"/>
    <mergeCell ref="B72:D72"/>
    <mergeCell ref="B73:D73"/>
    <mergeCell ref="B54:C54"/>
    <mergeCell ref="C67:D67"/>
    <mergeCell ref="C63:D63"/>
    <mergeCell ref="B56:C56"/>
    <mergeCell ref="B75:D75"/>
    <mergeCell ref="B44:C44"/>
    <mergeCell ref="B23:C23"/>
    <mergeCell ref="I16:K16"/>
    <mergeCell ref="I22:K22"/>
    <mergeCell ref="I19:K19"/>
    <mergeCell ref="B19:C19"/>
    <mergeCell ref="I18:K18"/>
    <mergeCell ref="I20:K20"/>
    <mergeCell ref="B40:C40"/>
    <mergeCell ref="B31:C31"/>
    <mergeCell ref="B38:C38"/>
    <mergeCell ref="B29:C29"/>
    <mergeCell ref="B39:C39"/>
    <mergeCell ref="B42:C42"/>
    <mergeCell ref="B26:C26"/>
    <mergeCell ref="B25:C25"/>
    <mergeCell ref="B15:C15"/>
    <mergeCell ref="B24:C24"/>
    <mergeCell ref="B21:C21"/>
    <mergeCell ref="B22:C22"/>
    <mergeCell ref="C1:D3"/>
    <mergeCell ref="B9:C9"/>
    <mergeCell ref="B7:C7"/>
    <mergeCell ref="B10:C10"/>
    <mergeCell ref="B11:C11"/>
    <mergeCell ref="B8:C8"/>
    <mergeCell ref="B51:C51"/>
    <mergeCell ref="B52:C52"/>
    <mergeCell ref="B48:C48"/>
    <mergeCell ref="B49:C49"/>
    <mergeCell ref="B50:C50"/>
    <mergeCell ref="B53:C53"/>
    <mergeCell ref="B45:C45"/>
    <mergeCell ref="B46:C46"/>
    <mergeCell ref="B74:D74"/>
    <mergeCell ref="B47:C47"/>
    <mergeCell ref="C69:D69"/>
    <mergeCell ref="C59:D59"/>
    <mergeCell ref="C61:D61"/>
    <mergeCell ref="C65:D65"/>
    <mergeCell ref="C68:D68"/>
    <mergeCell ref="B55:C55"/>
    <mergeCell ref="C66:D66"/>
    <mergeCell ref="C60:D60"/>
    <mergeCell ref="C62:D62"/>
    <mergeCell ref="B58:D58"/>
    <mergeCell ref="C64:D64"/>
  </mergeCells>
  <pageMargins left="0.7" right="0.7" top="0.75" bottom="0.75" header="0.3" footer="0.3"/>
  <pageSetup paperSize="256" scale="80" fitToHeight="0" orientation="portrait" r:id="rId1"/>
  <ignoredErrors>
    <ignoredError sqref="D43:D44 D8:D15 D42 D28 D32:D37 D46:D51 D52:D53 D55:D56 D16:D25 D30" numberStoredAsText="1"/>
    <ignoredError sqref="D4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Język - Language</vt:lpstr>
      <vt:lpstr>Multiscreen. Cross-Device</vt:lpstr>
      <vt:lpstr>Mobile</vt:lpstr>
      <vt:lpstr>Flat Fee</vt:lpstr>
      <vt:lpstr>Poczta - Email service</vt:lpstr>
      <vt:lpstr>Serwisy &amp; Pakiety</vt:lpstr>
      <vt:lpstr>Wideo &amp; Audio</vt:lpstr>
      <vt:lpstr>DataPower</vt:lpstr>
      <vt:lpstr>Dopłaty - Extra charges</vt:lpstr>
      <vt:lpstr>Docs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2019-01-17T08:43:49Z</dcterms:modified>
</cp:coreProperties>
</file>