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en_skoroszyt"/>
  <bookViews>
    <workbookView xWindow="465" yWindow="1725" windowWidth="17160" windowHeight="5640" tabRatio="851" activeTab="2"/>
  </bookViews>
  <sheets>
    <sheet name="Język - Language" sheetId="15" r:id="rId1"/>
    <sheet name="Multiscreen" sheetId="8" r:id="rId2"/>
    <sheet name="Mobile" sheetId="16" r:id="rId3"/>
    <sheet name="Desktop Flat Fee" sheetId="10" r:id="rId4"/>
    <sheet name="Serwisy &amp; Pakiety" sheetId="12" r:id="rId5"/>
    <sheet name="Wideo &amp; Audio" sheetId="4" r:id="rId6"/>
    <sheet name="Poczta - Email service" sheetId="11" r:id="rId7"/>
    <sheet name="DataPower" sheetId="3" r:id="rId8"/>
    <sheet name="Dopłaty - Extra charges" sheetId="2" r:id="rId9"/>
    <sheet name="Docs" sheetId="13" r:id="rId10"/>
  </sheets>
  <calcPr calcId="145621"/>
</workbook>
</file>

<file path=xl/calcChain.xml><?xml version="1.0" encoding="utf-8"?>
<calcChain xmlns="http://schemas.openxmlformats.org/spreadsheetml/2006/main">
  <c r="B27" i="2" l="1"/>
  <c r="B19" i="2" l="1"/>
  <c r="C10" i="8" l="1"/>
  <c r="C9" i="8"/>
  <c r="H12" i="10" l="1"/>
  <c r="H11" i="10"/>
  <c r="H10" i="10"/>
  <c r="B26" i="2" l="1"/>
  <c r="D19" i="4" l="1"/>
  <c r="D18" i="4"/>
  <c r="D92" i="12"/>
  <c r="D77" i="12"/>
  <c r="D17" i="4" l="1"/>
  <c r="C27" i="16" l="1"/>
  <c r="C21" i="4" l="1"/>
  <c r="C20" i="4"/>
  <c r="C17" i="16" l="1"/>
  <c r="C10" i="16" l="1"/>
  <c r="J65" i="16"/>
  <c r="H65" i="16"/>
  <c r="F65" i="16"/>
  <c r="C65" i="16"/>
  <c r="N104" i="12" l="1"/>
  <c r="N103" i="12"/>
  <c r="N102" i="12"/>
  <c r="N101" i="12"/>
  <c r="N100" i="12"/>
  <c r="N99" i="12"/>
  <c r="N98" i="12"/>
  <c r="N97" i="12"/>
  <c r="N96" i="12"/>
  <c r="N95" i="12"/>
  <c r="N94" i="12"/>
  <c r="N93" i="12"/>
  <c r="L104" i="12"/>
  <c r="L103" i="12"/>
  <c r="L102" i="12"/>
  <c r="L101" i="12"/>
  <c r="L100" i="12"/>
  <c r="L99" i="12"/>
  <c r="L98" i="12"/>
  <c r="L97" i="12"/>
  <c r="L96" i="12"/>
  <c r="L95" i="12"/>
  <c r="L94" i="12"/>
  <c r="L93" i="12"/>
  <c r="J104" i="12"/>
  <c r="J103" i="12"/>
  <c r="J102" i="12"/>
  <c r="J101" i="12"/>
  <c r="J100" i="12"/>
  <c r="J99" i="12"/>
  <c r="J98" i="12"/>
  <c r="J97" i="12"/>
  <c r="J96" i="12"/>
  <c r="J95" i="12"/>
  <c r="J94" i="12"/>
  <c r="J93" i="12"/>
  <c r="H104" i="12"/>
  <c r="H103" i="12"/>
  <c r="H102" i="12"/>
  <c r="H101" i="12"/>
  <c r="H100" i="12"/>
  <c r="H99" i="12"/>
  <c r="H98" i="12"/>
  <c r="H97" i="12"/>
  <c r="H96" i="12"/>
  <c r="H95" i="12"/>
  <c r="H94" i="12"/>
  <c r="H93" i="12"/>
  <c r="F104" i="12"/>
  <c r="F103" i="12"/>
  <c r="F102" i="12"/>
  <c r="F101" i="12"/>
  <c r="F100" i="12"/>
  <c r="F99" i="12"/>
  <c r="F98" i="12"/>
  <c r="F97" i="12"/>
  <c r="F96" i="12"/>
  <c r="F95" i="12"/>
  <c r="F94" i="12"/>
  <c r="F93" i="12"/>
  <c r="N91" i="12"/>
  <c r="N90" i="12"/>
  <c r="N89" i="12"/>
  <c r="N88" i="12"/>
  <c r="N87" i="12"/>
  <c r="N86" i="12"/>
  <c r="N85" i="12"/>
  <c r="N84" i="12"/>
  <c r="N83" i="12"/>
  <c r="N82" i="12"/>
  <c r="L91" i="12"/>
  <c r="L90" i="12"/>
  <c r="L89" i="12"/>
  <c r="L88" i="12"/>
  <c r="L87" i="12"/>
  <c r="L86" i="12"/>
  <c r="L85" i="12"/>
  <c r="L84" i="12"/>
  <c r="L83" i="12"/>
  <c r="L82" i="12"/>
  <c r="J91" i="12"/>
  <c r="J90" i="12"/>
  <c r="J89" i="12"/>
  <c r="J88" i="12"/>
  <c r="J87" i="12"/>
  <c r="J86" i="12"/>
  <c r="J85" i="12"/>
  <c r="J84" i="12"/>
  <c r="J83" i="12"/>
  <c r="J82" i="12"/>
  <c r="H91" i="12" l="1"/>
  <c r="H90" i="12"/>
  <c r="H89" i="12"/>
  <c r="H88" i="12"/>
  <c r="H87" i="12"/>
  <c r="H86" i="12"/>
  <c r="H85" i="12"/>
  <c r="H84" i="12"/>
  <c r="H83" i="12"/>
  <c r="H82" i="12"/>
  <c r="F91" i="12"/>
  <c r="F90" i="12"/>
  <c r="F89" i="12"/>
  <c r="F88" i="12"/>
  <c r="F87" i="12"/>
  <c r="F86" i="12"/>
  <c r="F85" i="12"/>
  <c r="F84" i="12"/>
  <c r="F83" i="12"/>
  <c r="F82" i="12"/>
  <c r="N80" i="12"/>
  <c r="N79" i="12"/>
  <c r="N78" i="12"/>
  <c r="L80" i="12"/>
  <c r="L79" i="12"/>
  <c r="L78" i="12"/>
  <c r="J80" i="12"/>
  <c r="J79" i="12"/>
  <c r="J78" i="12"/>
  <c r="H80" i="12"/>
  <c r="H79" i="12"/>
  <c r="H78" i="12"/>
  <c r="F80" i="12"/>
  <c r="F79" i="12"/>
  <c r="F78" i="12"/>
  <c r="N76" i="12"/>
  <c r="N75" i="12"/>
  <c r="N74" i="12"/>
  <c r="N73" i="12"/>
  <c r="N72" i="12"/>
  <c r="L76" i="12"/>
  <c r="L75" i="12"/>
  <c r="L74" i="12"/>
  <c r="L73" i="12"/>
  <c r="L72" i="12"/>
  <c r="J76" i="12"/>
  <c r="J75" i="12"/>
  <c r="J74" i="12"/>
  <c r="J73" i="12"/>
  <c r="J72" i="12"/>
  <c r="H76" i="12"/>
  <c r="H75" i="12"/>
  <c r="H74" i="12"/>
  <c r="H73" i="12"/>
  <c r="H72" i="12"/>
  <c r="F76" i="12"/>
  <c r="F75" i="12"/>
  <c r="F74" i="12"/>
  <c r="F73" i="12"/>
  <c r="F72" i="12"/>
  <c r="N70" i="12" l="1"/>
  <c r="N69" i="12"/>
  <c r="N68" i="12"/>
  <c r="N67" i="12"/>
  <c r="N66" i="12"/>
  <c r="N65" i="12"/>
  <c r="L70" i="12"/>
  <c r="L69" i="12"/>
  <c r="L68" i="12"/>
  <c r="L67" i="12"/>
  <c r="L66" i="12"/>
  <c r="L65" i="12"/>
  <c r="J70" i="12"/>
  <c r="J69" i="12"/>
  <c r="J68" i="12"/>
  <c r="J67" i="12"/>
  <c r="J66" i="12"/>
  <c r="J65" i="12"/>
  <c r="H70" i="12"/>
  <c r="H69" i="12"/>
  <c r="H68" i="12"/>
  <c r="H67" i="12"/>
  <c r="H66" i="12"/>
  <c r="H65" i="12"/>
  <c r="F70" i="12"/>
  <c r="F69" i="12"/>
  <c r="F68" i="12"/>
  <c r="F67" i="12"/>
  <c r="F66" i="12"/>
  <c r="F65" i="12"/>
  <c r="N61" i="12"/>
  <c r="N63" i="12"/>
  <c r="N62" i="12"/>
  <c r="N60" i="12"/>
  <c r="N59" i="12"/>
  <c r="N58" i="12"/>
  <c r="N57" i="12"/>
  <c r="N56" i="12"/>
  <c r="N55" i="12"/>
  <c r="L61" i="12"/>
  <c r="L63" i="12"/>
  <c r="L62" i="12"/>
  <c r="L60" i="12"/>
  <c r="L59" i="12"/>
  <c r="L58" i="12"/>
  <c r="L57" i="12"/>
  <c r="L56" i="12"/>
  <c r="L55" i="12"/>
  <c r="J61" i="12"/>
  <c r="J63" i="12"/>
  <c r="J62" i="12"/>
  <c r="J60" i="12"/>
  <c r="J59" i="12"/>
  <c r="J58" i="12"/>
  <c r="J57" i="12"/>
  <c r="J56" i="12"/>
  <c r="J55" i="12"/>
  <c r="H61" i="12"/>
  <c r="H63" i="12"/>
  <c r="H62" i="12"/>
  <c r="H60" i="12"/>
  <c r="H59" i="12"/>
  <c r="H58" i="12"/>
  <c r="H57" i="12"/>
  <c r="H56" i="12"/>
  <c r="H55" i="12"/>
  <c r="F63" i="12"/>
  <c r="F62" i="12"/>
  <c r="F61" i="12"/>
  <c r="F60" i="12"/>
  <c r="F59" i="12"/>
  <c r="F58" i="12"/>
  <c r="F57" i="12"/>
  <c r="F56" i="12"/>
  <c r="F55" i="12"/>
  <c r="N53" i="12"/>
  <c r="N50" i="12"/>
  <c r="N49" i="12"/>
  <c r="N48" i="12"/>
  <c r="N52" i="12"/>
  <c r="N51" i="12"/>
  <c r="N47" i="12"/>
  <c r="N46" i="12"/>
  <c r="N45" i="12"/>
  <c r="N44" i="12"/>
  <c r="N43" i="12"/>
  <c r="L53" i="12"/>
  <c r="L52" i="12"/>
  <c r="L51" i="12"/>
  <c r="L50" i="12"/>
  <c r="L49" i="12"/>
  <c r="L48" i="12"/>
  <c r="L47" i="12"/>
  <c r="L46" i="12"/>
  <c r="L45" i="12"/>
  <c r="L44" i="12"/>
  <c r="L43" i="12"/>
  <c r="J53" i="12"/>
  <c r="J50" i="12"/>
  <c r="J49" i="12"/>
  <c r="J48" i="12"/>
  <c r="J52" i="12"/>
  <c r="J51" i="12"/>
  <c r="J47" i="12"/>
  <c r="J46" i="12"/>
  <c r="J45" i="12"/>
  <c r="J44" i="12"/>
  <c r="J43" i="12"/>
  <c r="H53" i="12" l="1"/>
  <c r="H52" i="12"/>
  <c r="H51" i="12"/>
  <c r="H50" i="12"/>
  <c r="H49" i="12"/>
  <c r="H48" i="12"/>
  <c r="H47" i="12"/>
  <c r="H46" i="12"/>
  <c r="H45" i="12"/>
  <c r="H44" i="12"/>
  <c r="H43" i="12"/>
  <c r="F53" i="12" l="1"/>
  <c r="F52" i="12"/>
  <c r="F51" i="12"/>
  <c r="F50" i="12"/>
  <c r="F49" i="12"/>
  <c r="F48" i="12"/>
  <c r="F47" i="12"/>
  <c r="F46" i="12"/>
  <c r="F45" i="12"/>
  <c r="F44" i="12"/>
  <c r="F43" i="12"/>
  <c r="N41" i="12"/>
  <c r="N40" i="12"/>
  <c r="L41" i="12"/>
  <c r="L40" i="12"/>
  <c r="J41" i="12"/>
  <c r="J40" i="12"/>
  <c r="H41" i="12"/>
  <c r="H40" i="12"/>
  <c r="F41" i="12"/>
  <c r="F40" i="12"/>
  <c r="N38" i="12" l="1"/>
  <c r="N37" i="12"/>
  <c r="N36" i="12"/>
  <c r="N35" i="12"/>
  <c r="N34" i="12"/>
  <c r="L38" i="12"/>
  <c r="L37" i="12"/>
  <c r="L36" i="12"/>
  <c r="L35" i="12"/>
  <c r="L34" i="12"/>
  <c r="J38" i="12"/>
  <c r="J37" i="12"/>
  <c r="J36" i="12"/>
  <c r="J35" i="12"/>
  <c r="J34" i="12"/>
  <c r="H38" i="12"/>
  <c r="H37" i="12"/>
  <c r="H36" i="12"/>
  <c r="H35" i="12"/>
  <c r="H34" i="12"/>
  <c r="F38" i="12"/>
  <c r="F37" i="12"/>
  <c r="F36" i="12"/>
  <c r="F35" i="12"/>
  <c r="F34" i="12"/>
  <c r="N32" i="12"/>
  <c r="L32" i="12"/>
  <c r="J32" i="12"/>
  <c r="H32" i="12"/>
  <c r="F32" i="12"/>
  <c r="N31" i="12"/>
  <c r="L31" i="12"/>
  <c r="J31" i="12"/>
  <c r="F31" i="12" l="1"/>
  <c r="H31" i="12"/>
  <c r="F15" i="8"/>
  <c r="D20" i="4" l="1"/>
  <c r="D64" i="12" l="1"/>
  <c r="D16" i="4" s="1"/>
  <c r="C26" i="4"/>
  <c r="F27" i="8"/>
  <c r="C27" i="8"/>
  <c r="G12" i="10"/>
  <c r="G11" i="10"/>
  <c r="G10" i="10"/>
  <c r="D13" i="10"/>
  <c r="B25" i="8"/>
  <c r="D12" i="10"/>
  <c r="D11" i="10"/>
  <c r="D10" i="10"/>
  <c r="D11" i="3" l="1"/>
  <c r="J133" i="12" l="1"/>
  <c r="D133" i="12"/>
  <c r="C169" i="12"/>
  <c r="C173" i="12" l="1"/>
  <c r="C171" i="12" l="1"/>
  <c r="C174" i="12"/>
  <c r="C175" i="12"/>
  <c r="D105" i="12" l="1"/>
  <c r="D21" i="4" s="1"/>
  <c r="D81" i="12"/>
  <c r="D71" i="12"/>
  <c r="D54" i="12"/>
  <c r="D15" i="4" s="1"/>
  <c r="D42" i="12"/>
  <c r="D14" i="4" s="1"/>
  <c r="D39" i="12"/>
  <c r="D13" i="4" s="1"/>
  <c r="D33" i="12"/>
  <c r="D12" i="4" s="1"/>
  <c r="C93" i="12" l="1"/>
  <c r="C82" i="12"/>
  <c r="C60" i="16" l="1"/>
  <c r="C7" i="16" l="1"/>
  <c r="D146" i="12" l="1"/>
  <c r="J135" i="12"/>
  <c r="F135" i="12"/>
  <c r="D135" i="12"/>
  <c r="F146" i="12"/>
  <c r="H156" i="12"/>
  <c r="E156" i="12"/>
  <c r="B157" i="12"/>
  <c r="F133" i="12"/>
  <c r="D144" i="12"/>
  <c r="F144" i="12"/>
  <c r="B136" i="12"/>
  <c r="F83" i="16" l="1"/>
  <c r="C8" i="15" l="1"/>
  <c r="O85" i="16" l="1"/>
  <c r="O86" i="16"/>
  <c r="O87" i="16"/>
  <c r="O88" i="16"/>
  <c r="O89" i="16"/>
  <c r="O90" i="16"/>
  <c r="N85" i="16"/>
  <c r="N86" i="16"/>
  <c r="N87" i="16"/>
  <c r="N88" i="16"/>
  <c r="N89" i="16"/>
  <c r="N90" i="16"/>
  <c r="L85" i="16"/>
  <c r="L86" i="16"/>
  <c r="L87" i="16"/>
  <c r="L88" i="16"/>
  <c r="L89" i="16"/>
  <c r="L90" i="16"/>
  <c r="J85" i="16"/>
  <c r="J86" i="16"/>
  <c r="J87" i="16"/>
  <c r="J88" i="16"/>
  <c r="J89" i="16"/>
  <c r="J90" i="16"/>
  <c r="H85" i="16"/>
  <c r="H86" i="16"/>
  <c r="H87" i="16"/>
  <c r="H88" i="16"/>
  <c r="H89" i="16"/>
  <c r="H90" i="16"/>
  <c r="F85" i="16"/>
  <c r="F86" i="16"/>
  <c r="F87" i="16"/>
  <c r="F88" i="16"/>
  <c r="F89" i="16"/>
  <c r="F90" i="16"/>
  <c r="F91" i="16"/>
  <c r="F92" i="16"/>
  <c r="F93" i="16"/>
  <c r="O84" i="16"/>
  <c r="N84" i="16"/>
  <c r="L84" i="16"/>
  <c r="J84" i="16"/>
  <c r="H84" i="16"/>
  <c r="F84" i="16"/>
  <c r="N83" i="16" l="1"/>
  <c r="J83" i="16"/>
  <c r="L83" i="16"/>
  <c r="H83" i="16"/>
  <c r="N81" i="16"/>
  <c r="L81" i="16"/>
  <c r="J81" i="16"/>
  <c r="F81" i="16"/>
  <c r="B30" i="15"/>
  <c r="J68" i="16"/>
  <c r="J69" i="16"/>
  <c r="J70" i="16"/>
  <c r="J71" i="16"/>
  <c r="J72" i="16"/>
  <c r="J73" i="16"/>
  <c r="J74" i="16"/>
  <c r="J67" i="16"/>
  <c r="J66" i="16"/>
  <c r="J64" i="16"/>
  <c r="H68" i="16"/>
  <c r="H69" i="16"/>
  <c r="H70" i="16"/>
  <c r="H71" i="16"/>
  <c r="H72" i="16"/>
  <c r="H73" i="16"/>
  <c r="H74" i="16"/>
  <c r="H67" i="16"/>
  <c r="H66" i="16"/>
  <c r="H64" i="16"/>
  <c r="F68" i="16"/>
  <c r="F69" i="16"/>
  <c r="F70" i="16"/>
  <c r="F71" i="16"/>
  <c r="F72" i="16"/>
  <c r="F73" i="16"/>
  <c r="F74" i="16"/>
  <c r="F67" i="16"/>
  <c r="F66" i="16"/>
  <c r="F64" i="16"/>
  <c r="J61" i="16"/>
  <c r="D10" i="4" l="1"/>
  <c r="C80" i="16"/>
  <c r="C18" i="3"/>
  <c r="D89" i="16" s="1"/>
  <c r="C15" i="3"/>
  <c r="D86" i="16" s="1"/>
  <c r="C14" i="3"/>
  <c r="D85" i="16" s="1"/>
  <c r="C13" i="3"/>
  <c r="D84" i="16" s="1"/>
  <c r="C19" i="3"/>
  <c r="D90" i="16" s="1"/>
  <c r="C17" i="3"/>
  <c r="D88" i="16" s="1"/>
  <c r="C16" i="3"/>
  <c r="D87" i="16" s="1"/>
  <c r="F7" i="4"/>
  <c r="C55" i="12"/>
  <c r="C70" i="16" s="1"/>
  <c r="F25" i="12"/>
  <c r="F61" i="16" s="1"/>
  <c r="AA70" i="2"/>
  <c r="D50" i="2"/>
  <c r="B10" i="4"/>
  <c r="D156" i="12"/>
  <c r="H145" i="12"/>
  <c r="C115" i="12"/>
  <c r="F156" i="12"/>
  <c r="F155" i="12"/>
  <c r="D115" i="12"/>
  <c r="B29" i="12"/>
  <c r="K8" i="4"/>
  <c r="C155" i="12"/>
  <c r="J136" i="12"/>
  <c r="D155" i="12"/>
  <c r="D140" i="12"/>
  <c r="C114" i="12"/>
  <c r="C22" i="12"/>
  <c r="D16" i="12"/>
  <c r="D19" i="12"/>
  <c r="D14" i="12"/>
  <c r="D18" i="12"/>
  <c r="D13" i="12"/>
  <c r="D15" i="12"/>
  <c r="D17" i="12"/>
  <c r="D12" i="12"/>
  <c r="C12" i="4"/>
  <c r="C168" i="12"/>
  <c r="D29" i="2"/>
  <c r="D30" i="2"/>
  <c r="C16" i="4"/>
  <c r="B50" i="8"/>
  <c r="B67" i="2"/>
  <c r="B56" i="2"/>
  <c r="E24" i="10"/>
  <c r="D43" i="2"/>
  <c r="G94" i="8"/>
  <c r="E17" i="10"/>
  <c r="C14" i="11"/>
  <c r="C23" i="10"/>
  <c r="F7" i="8"/>
  <c r="B96" i="8"/>
  <c r="J37" i="8"/>
  <c r="F69" i="8"/>
  <c r="J79" i="8"/>
  <c r="B62" i="8"/>
  <c r="F10" i="12"/>
  <c r="C22" i="3"/>
  <c r="D93" i="16" s="1"/>
  <c r="B13" i="3"/>
  <c r="C84" i="16" s="1"/>
  <c r="B72" i="8"/>
  <c r="I89" i="8"/>
  <c r="F89" i="8"/>
  <c r="E7" i="12"/>
  <c r="B24" i="3"/>
  <c r="C21" i="3"/>
  <c r="D92" i="16" s="1"/>
  <c r="B20" i="3"/>
  <c r="C91" i="16" s="1"/>
  <c r="B16" i="3"/>
  <c r="C87" i="16" s="1"/>
  <c r="Q12" i="3"/>
  <c r="O83" i="16" s="1"/>
  <c r="H10" i="3"/>
  <c r="H81" i="16" s="1"/>
  <c r="C110" i="12"/>
  <c r="C77" i="16" s="1"/>
  <c r="F99" i="8"/>
  <c r="F71" i="8"/>
  <c r="F67" i="8"/>
  <c r="I87" i="8"/>
  <c r="I86" i="8"/>
  <c r="F87" i="8"/>
  <c r="C11" i="8"/>
  <c r="B21" i="8"/>
  <c r="D11" i="12"/>
  <c r="B11" i="12"/>
  <c r="B23" i="3"/>
  <c r="C94" i="16" s="1"/>
  <c r="C20" i="3"/>
  <c r="D91" i="16" s="1"/>
  <c r="B19" i="3"/>
  <c r="C90" i="16" s="1"/>
  <c r="B15" i="3"/>
  <c r="C86" i="16" s="1"/>
  <c r="P11" i="3"/>
  <c r="N82" i="16" s="1"/>
  <c r="C7" i="3"/>
  <c r="D81" i="16" s="1"/>
  <c r="D106" i="12"/>
  <c r="D74" i="16" s="1"/>
  <c r="C8" i="16"/>
  <c r="F76" i="8"/>
  <c r="F70" i="8"/>
  <c r="I90" i="8"/>
  <c r="J86" i="8"/>
  <c r="I79" i="8"/>
  <c r="F80" i="8"/>
  <c r="B13" i="8"/>
  <c r="H10" i="12"/>
  <c r="B26" i="3"/>
  <c r="F11" i="3"/>
  <c r="F82" i="16" s="1"/>
  <c r="B22" i="3"/>
  <c r="C93" i="16" s="1"/>
  <c r="B18" i="3"/>
  <c r="C89" i="16" s="1"/>
  <c r="B14" i="3"/>
  <c r="C85" i="16" s="1"/>
  <c r="C34" i="8"/>
  <c r="B7" i="3"/>
  <c r="C81" i="16" s="1"/>
  <c r="B76" i="8"/>
  <c r="I88" i="8"/>
  <c r="I76" i="8"/>
  <c r="B25" i="3"/>
  <c r="B21" i="3"/>
  <c r="C92" i="16" s="1"/>
  <c r="B17" i="3"/>
  <c r="C88" i="16" s="1"/>
  <c r="C111" i="12"/>
  <c r="C78" i="16" s="1"/>
  <c r="F102" i="8"/>
  <c r="F68" i="8"/>
  <c r="J76" i="8"/>
  <c r="F11" i="8"/>
  <c r="C107" i="12"/>
  <c r="C75" i="16" s="1"/>
  <c r="F9" i="12"/>
  <c r="E8" i="4"/>
  <c r="D116" i="12"/>
  <c r="C130" i="12"/>
  <c r="F27" i="12"/>
  <c r="H44" i="10"/>
  <c r="C67" i="2"/>
  <c r="C22" i="11"/>
  <c r="G7" i="10"/>
  <c r="I95" i="8"/>
  <c r="F39" i="8"/>
  <c r="B21" i="2"/>
  <c r="H25" i="12"/>
  <c r="B30" i="2"/>
  <c r="B29" i="2"/>
  <c r="B7" i="11"/>
  <c r="I58" i="8"/>
  <c r="B59" i="8"/>
  <c r="C14" i="8"/>
  <c r="B49" i="8"/>
  <c r="C109" i="12"/>
  <c r="C76" i="16" s="1"/>
  <c r="C108" i="12"/>
  <c r="C19" i="8"/>
  <c r="C17" i="8"/>
  <c r="C16" i="8"/>
  <c r="H8" i="12"/>
  <c r="C18" i="8"/>
  <c r="F8" i="12"/>
  <c r="L25" i="12"/>
  <c r="D32" i="2"/>
  <c r="C13" i="4"/>
  <c r="D73" i="16"/>
  <c r="B30" i="11"/>
  <c r="F54" i="10"/>
  <c r="C24" i="8"/>
  <c r="F56" i="8"/>
  <c r="G95" i="8"/>
  <c r="H23" i="12"/>
  <c r="K7" i="4"/>
  <c r="B65" i="2"/>
  <c r="B25" i="2"/>
  <c r="D15" i="10"/>
  <c r="C16" i="11"/>
  <c r="F23" i="12"/>
  <c r="H7" i="4"/>
  <c r="B64" i="2"/>
  <c r="B24" i="2"/>
  <c r="H4" i="10"/>
  <c r="C10" i="11"/>
  <c r="C163" i="12"/>
  <c r="J25" i="12"/>
  <c r="B78" i="2"/>
  <c r="B52" i="2"/>
  <c r="B22" i="2"/>
  <c r="B4" i="2"/>
  <c r="B77" i="2"/>
  <c r="D67" i="16"/>
  <c r="C9" i="11"/>
  <c r="C44" i="10"/>
  <c r="C13" i="8"/>
  <c r="B40" i="8"/>
  <c r="F60" i="8"/>
  <c r="F97" i="8"/>
  <c r="C38" i="2"/>
  <c r="C24" i="4"/>
  <c r="B61" i="8"/>
  <c r="B98" i="8"/>
  <c r="B61" i="2"/>
  <c r="D30" i="12"/>
  <c r="B47" i="8"/>
  <c r="C144" i="12"/>
  <c r="C7" i="4"/>
  <c r="G9" i="10"/>
  <c r="L4" i="4"/>
  <c r="F8" i="11"/>
  <c r="B49" i="2"/>
  <c r="B16" i="11"/>
  <c r="F62" i="8"/>
  <c r="F59" i="8"/>
  <c r="B51" i="2"/>
  <c r="O4" i="12"/>
  <c r="C7" i="10"/>
  <c r="E55" i="10"/>
  <c r="B100" i="8"/>
  <c r="D7" i="12"/>
  <c r="C95" i="16"/>
  <c r="B54" i="2"/>
  <c r="B13" i="2"/>
  <c r="F16" i="8"/>
  <c r="H8" i="11"/>
  <c r="D71" i="16"/>
  <c r="C7" i="12"/>
  <c r="B53" i="2"/>
  <c r="B12" i="2"/>
  <c r="G4" i="11"/>
  <c r="D72" i="16"/>
  <c r="D23" i="12"/>
  <c r="D61" i="16" s="1"/>
  <c r="AA71" i="2"/>
  <c r="B45" i="2"/>
  <c r="B14" i="2"/>
  <c r="H9" i="4"/>
  <c r="B23" i="11"/>
  <c r="B44" i="8"/>
  <c r="I67" i="8"/>
  <c r="B57" i="2"/>
  <c r="H24" i="12"/>
  <c r="F145" i="12"/>
  <c r="C16" i="10"/>
  <c r="I8" i="8"/>
  <c r="B39" i="8"/>
  <c r="B103" i="8"/>
  <c r="C72" i="2"/>
  <c r="I78" i="8"/>
  <c r="C96" i="16"/>
  <c r="C22" i="8"/>
  <c r="B46" i="2"/>
  <c r="E57" i="10"/>
  <c r="E8" i="11"/>
  <c r="B63" i="2"/>
  <c r="C23" i="12"/>
  <c r="C61" i="16" s="1"/>
  <c r="D8" i="10"/>
  <c r="F56" i="10"/>
  <c r="C32" i="8"/>
  <c r="J66" i="8"/>
  <c r="C27" i="4"/>
  <c r="B81" i="2"/>
  <c r="B50" i="2"/>
  <c r="B8" i="2"/>
  <c r="F9" i="8"/>
  <c r="H54" i="10"/>
  <c r="D7" i="10"/>
  <c r="B4" i="11"/>
  <c r="C43" i="12"/>
  <c r="C69" i="16" s="1"/>
  <c r="B80" i="2"/>
  <c r="B48" i="2"/>
  <c r="D7" i="2"/>
  <c r="B31" i="11"/>
  <c r="D68" i="16"/>
  <c r="C11" i="4"/>
  <c r="C68" i="2"/>
  <c r="B43" i="2"/>
  <c r="B10" i="2"/>
  <c r="C37" i="2"/>
  <c r="C15" i="4"/>
  <c r="C34" i="11"/>
  <c r="B46" i="8"/>
  <c r="F77" i="8"/>
  <c r="B105" i="8"/>
  <c r="B66" i="2"/>
  <c r="C7" i="11"/>
  <c r="C26" i="10"/>
  <c r="F13" i="8"/>
  <c r="F42" i="8"/>
  <c r="I77" i="8"/>
  <c r="B9" i="2"/>
  <c r="B4" i="3"/>
  <c r="D16" i="10"/>
  <c r="C13" i="11"/>
  <c r="B58" i="2"/>
  <c r="C73" i="2"/>
  <c r="C65" i="12"/>
  <c r="C71" i="16" s="1"/>
  <c r="B63" i="8"/>
  <c r="B69" i="2"/>
  <c r="H26" i="12"/>
  <c r="H61" i="16" s="1"/>
  <c r="D14" i="10"/>
  <c r="F58" i="10"/>
  <c r="I37" i="8"/>
  <c r="B77" i="8"/>
  <c r="B104" i="8"/>
  <c r="C23" i="4"/>
  <c r="C74" i="2"/>
  <c r="D44" i="2"/>
  <c r="C22" i="10"/>
  <c r="I7" i="8"/>
  <c r="C54" i="10"/>
  <c r="B36" i="11"/>
  <c r="E145" i="12"/>
  <c r="D29" i="12"/>
  <c r="D64" i="16" s="1"/>
  <c r="C19" i="4"/>
  <c r="B74" i="2"/>
  <c r="B44" i="2"/>
  <c r="D8" i="13"/>
  <c r="B24" i="11"/>
  <c r="D66" i="16"/>
  <c r="G9" i="4"/>
  <c r="C66" i="2"/>
  <c r="C39" i="2"/>
  <c r="B7" i="2"/>
  <c r="D45" i="2"/>
  <c r="D23" i="4"/>
  <c r="B35" i="11"/>
  <c r="F55" i="10"/>
  <c r="B48" i="8"/>
  <c r="B71" i="2"/>
  <c r="C40" i="12"/>
  <c r="C68" i="16" s="1"/>
  <c r="C11" i="11"/>
  <c r="E44" i="10"/>
  <c r="F46" i="8"/>
  <c r="I80" i="8"/>
  <c r="B20" i="2"/>
  <c r="D7" i="4"/>
  <c r="D55" i="10"/>
  <c r="B97" i="8"/>
  <c r="C106" i="12"/>
  <c r="C74" i="16" s="1"/>
  <c r="B15" i="2"/>
  <c r="B42" i="8"/>
  <c r="B37" i="8"/>
  <c r="B68" i="2"/>
  <c r="B73" i="2"/>
  <c r="B9" i="11"/>
  <c r="E16" i="10"/>
  <c r="C7" i="8"/>
  <c r="I39" i="8"/>
  <c r="B80" i="8"/>
  <c r="C17" i="4"/>
  <c r="B72" i="2"/>
  <c r="C41" i="2"/>
  <c r="C31" i="8"/>
  <c r="C4" i="8"/>
  <c r="F44" i="10"/>
  <c r="E34" i="11"/>
  <c r="C71" i="2"/>
  <c r="C40" i="2"/>
  <c r="D9" i="10"/>
  <c r="C4" i="12"/>
  <c r="E7" i="4"/>
  <c r="C64" i="2"/>
  <c r="B35" i="2"/>
  <c r="D10" i="13"/>
  <c r="B55" i="2"/>
  <c r="E7" i="10"/>
  <c r="B51" i="8"/>
  <c r="F93" i="8"/>
  <c r="D4" i="2"/>
  <c r="B79" i="2"/>
  <c r="C72" i="12"/>
  <c r="C72" i="16" s="1"/>
  <c r="C18" i="11"/>
  <c r="D54" i="10"/>
  <c r="B52" i="8"/>
  <c r="G93" i="8"/>
  <c r="B32" i="2"/>
  <c r="J4" i="8"/>
  <c r="C15" i="8"/>
  <c r="D70" i="16"/>
  <c r="C21" i="8"/>
  <c r="B60" i="8"/>
  <c r="B59" i="2"/>
  <c r="C12" i="11"/>
  <c r="B17" i="2"/>
  <c r="L23" i="12"/>
  <c r="B18" i="2"/>
  <c r="E45" i="10"/>
  <c r="F100" i="8"/>
  <c r="H8" i="10"/>
  <c r="B101" i="8"/>
  <c r="C4" i="16"/>
  <c r="B11" i="2"/>
  <c r="Q4" i="3"/>
  <c r="C34" i="12"/>
  <c r="C67" i="16" s="1"/>
  <c r="C15" i="11"/>
  <c r="G29" i="10"/>
  <c r="F47" i="8"/>
  <c r="D93" i="8"/>
  <c r="B70" i="2"/>
  <c r="C36" i="2"/>
  <c r="C29" i="8"/>
  <c r="E58" i="10"/>
  <c r="E29" i="10"/>
  <c r="B29" i="11"/>
  <c r="C14" i="4"/>
  <c r="C69" i="2"/>
  <c r="B33" i="2"/>
  <c r="C17" i="11"/>
  <c r="C25" i="4"/>
  <c r="C4" i="4"/>
  <c r="B60" i="2"/>
  <c r="B31" i="2"/>
  <c r="C14" i="10"/>
  <c r="C65" i="2"/>
  <c r="J23" i="12"/>
  <c r="D145" i="12"/>
  <c r="E14" i="10"/>
  <c r="C59" i="10"/>
  <c r="C33" i="8"/>
  <c r="I56" i="8"/>
  <c r="I94" i="8"/>
  <c r="B16" i="2"/>
  <c r="I9" i="4"/>
  <c r="C30" i="8"/>
  <c r="J56" i="8"/>
  <c r="B95" i="8"/>
  <c r="B42" i="2"/>
  <c r="C18" i="4"/>
  <c r="C20" i="8"/>
  <c r="F57" i="10"/>
  <c r="C143" i="12"/>
  <c r="C166" i="12"/>
  <c r="C152" i="12"/>
  <c r="G8" i="10"/>
  <c r="F58" i="8"/>
  <c r="F12" i="8"/>
  <c r="C93" i="8"/>
  <c r="B73" i="8"/>
  <c r="I93" i="8"/>
  <c r="F96" i="8"/>
  <c r="J8" i="8"/>
  <c r="F98" i="8"/>
  <c r="F103" i="8"/>
  <c r="E54" i="10"/>
  <c r="H9" i="10"/>
  <c r="C19" i="11"/>
  <c r="C29" i="12"/>
  <c r="C64" i="16" s="1"/>
  <c r="F41" i="8"/>
  <c r="F44" i="8"/>
  <c r="F29" i="8"/>
  <c r="F23" i="8"/>
  <c r="F22" i="8"/>
  <c r="F18" i="8"/>
  <c r="F40" i="8"/>
  <c r="F48" i="8"/>
  <c r="F28" i="8"/>
  <c r="F19" i="8"/>
  <c r="F21" i="8"/>
  <c r="F43" i="8"/>
  <c r="F31" i="8"/>
  <c r="F45" i="8"/>
  <c r="F30" i="8"/>
  <c r="F14" i="8"/>
  <c r="H1" i="4"/>
  <c r="C1" i="11"/>
  <c r="K1" i="3"/>
  <c r="I1" i="12"/>
  <c r="C1" i="2"/>
  <c r="E1" i="10"/>
  <c r="B56" i="8"/>
  <c r="F37" i="8"/>
  <c r="I66" i="8"/>
  <c r="C31" i="12"/>
  <c r="C66" i="16" s="1"/>
  <c r="C29" i="10"/>
  <c r="B41" i="8"/>
  <c r="B45" i="8"/>
  <c r="G44" i="10"/>
  <c r="F95" i="8"/>
  <c r="D69" i="16"/>
  <c r="C4" i="10"/>
  <c r="C23" i="8"/>
  <c r="F61" i="8"/>
  <c r="C28" i="8"/>
  <c r="B28" i="11"/>
  <c r="B58" i="8"/>
  <c r="B43" i="8"/>
  <c r="F101" i="8"/>
  <c r="E56" i="10"/>
  <c r="G1" i="8"/>
  <c r="E1" i="15"/>
  <c r="G1" i="16"/>
  <c r="C78" i="12"/>
  <c r="C73" i="16" s="1"/>
  <c r="M4" i="16"/>
  <c r="F62" i="16" l="1"/>
  <c r="F29" i="16"/>
  <c r="C70" i="2"/>
</calcChain>
</file>

<file path=xl/comments1.xml><?xml version="1.0" encoding="utf-8"?>
<comments xmlns="http://schemas.openxmlformats.org/spreadsheetml/2006/main">
  <authors>
    <author>Autor</author>
  </authors>
  <commentList>
    <comment ref="C41" authorId="0">
      <text>
        <r>
          <rPr>
            <b/>
            <sz val="9"/>
            <color indexed="81"/>
            <rFont val="Tahoma"/>
            <charset val="1"/>
          </rPr>
          <t>Autor:</t>
        </r>
        <r>
          <rPr>
            <sz val="9"/>
            <color indexed="81"/>
            <rFont val="Tahoma"/>
            <charset val="1"/>
          </rPr>
          <t xml:space="preserve">
WP Kobieta, WP Facet, WP Film, WP Gwiazdy, WP Opinie, WP Teleshow, WP Wiadomości, WP Moto, WP Tech, WP Turystyka, WP Kuchnia, WP Dom, WP Gry, WP Finanse, WP Książki, Wawalove</t>
        </r>
      </text>
    </comment>
    <comment ref="C56" authorId="0">
      <text>
        <r>
          <rPr>
            <b/>
            <sz val="9"/>
            <color indexed="81"/>
            <rFont val="Tahoma"/>
            <charset val="1"/>
          </rPr>
          <t>Autor:</t>
        </r>
        <r>
          <rPr>
            <sz val="9"/>
            <color indexed="81"/>
            <rFont val="Tahoma"/>
            <charset val="1"/>
          </rPr>
          <t xml:space="preserve">
Możliwość wysłania maksymalnie 230 000 pushy/dzień</t>
        </r>
      </text>
    </comment>
    <comment ref="C57" authorId="0">
      <text>
        <r>
          <rPr>
            <b/>
            <sz val="9"/>
            <color indexed="81"/>
            <rFont val="Tahoma"/>
            <charset val="1"/>
          </rPr>
          <t>Autor:</t>
        </r>
        <r>
          <rPr>
            <sz val="9"/>
            <color indexed="81"/>
            <rFont val="Tahoma"/>
            <charset val="1"/>
          </rPr>
          <t xml:space="preserve">
Możliwość wysłania maksymalnie 20 000 pushy/dzień</t>
        </r>
      </text>
    </comment>
  </commentList>
</comments>
</file>

<file path=xl/comments2.xml><?xml version="1.0" encoding="utf-8"?>
<comments xmlns="http://schemas.openxmlformats.org/spreadsheetml/2006/main">
  <authors>
    <author>Autor</author>
  </authors>
  <commentList>
    <comment ref="E115" authorId="0">
      <text>
        <r>
          <rPr>
            <b/>
            <sz val="9"/>
            <color indexed="81"/>
            <rFont val="Tahoma"/>
            <charset val="1"/>
          </rPr>
          <t>Autor:</t>
        </r>
        <r>
          <rPr>
            <sz val="9"/>
            <color indexed="81"/>
            <rFont val="Tahoma"/>
            <charset val="1"/>
          </rPr>
          <t xml:space="preserve">
Capp 3/uu na kampanię (na drugiej odsłonie autoexpand)</t>
        </r>
      </text>
    </comment>
    <comment ref="E117" authorId="0">
      <text>
        <r>
          <rPr>
            <b/>
            <sz val="9"/>
            <color indexed="81"/>
            <rFont val="Tahoma"/>
            <charset val="1"/>
          </rPr>
          <t>Autor:</t>
        </r>
        <r>
          <rPr>
            <sz val="9"/>
            <color indexed="81"/>
            <rFont val="Tahoma"/>
            <charset val="1"/>
          </rPr>
          <t xml:space="preserve">
Capp 3/uu na kampanię (na drugiej odsłonie autoexpand)</t>
        </r>
      </text>
    </comment>
    <comment ref="J133" authorId="0">
      <text>
        <r>
          <rPr>
            <b/>
            <sz val="9"/>
            <color indexed="81"/>
            <rFont val="Tahoma"/>
            <family val="2"/>
            <charset val="238"/>
          </rPr>
          <t>Autor:</t>
        </r>
        <r>
          <rPr>
            <sz val="9"/>
            <color indexed="81"/>
            <rFont val="Tahoma"/>
            <family val="2"/>
            <charset val="238"/>
          </rPr>
          <t xml:space="preserve">
Wiadomości Lokalne</t>
        </r>
      </text>
    </comment>
  </commentList>
</comments>
</file>

<file path=xl/sharedStrings.xml><?xml version="1.0" encoding="utf-8"?>
<sst xmlns="http://schemas.openxmlformats.org/spreadsheetml/2006/main" count="424" uniqueCount="236">
  <si>
    <t xml:space="preserve">            Wybór języka - Language</t>
  </si>
  <si>
    <t>PROSZĘ WYBRAĆ JĘZYK</t>
  </si>
  <si>
    <t>PLEASE CHOOSE LANGUAGE</t>
  </si>
  <si>
    <t>Polski</t>
  </si>
  <si>
    <t>English</t>
  </si>
  <si>
    <t>SG WP MONEY (DESKTOP/TABLET)</t>
  </si>
  <si>
    <t>SG WP MONEY (MOBILE)</t>
  </si>
  <si>
    <r>
      <t>Double Billboard lub Wideboard</t>
    </r>
    <r>
      <rPr>
        <vertAlign val="superscript"/>
        <sz val="8"/>
        <color indexed="8"/>
        <rFont val="Tahoma"/>
        <family val="2"/>
      </rPr>
      <t>1</t>
    </r>
  </si>
  <si>
    <t>Triple Billboard</t>
  </si>
  <si>
    <t xml:space="preserve">Screening / Gallery Board </t>
  </si>
  <si>
    <t>Money Box</t>
  </si>
  <si>
    <r>
      <t>Content Box</t>
    </r>
    <r>
      <rPr>
        <vertAlign val="superscript"/>
        <sz val="8"/>
        <color indexed="8"/>
        <rFont val="Tahoma"/>
        <family val="2"/>
      </rPr>
      <t>2</t>
    </r>
  </si>
  <si>
    <t>ROS SPORTOWEFAKTY (DESKTOP)</t>
  </si>
  <si>
    <r>
      <t>ROS SPORTOWEFAKTY (MOBILE)</t>
    </r>
    <r>
      <rPr>
        <b/>
        <vertAlign val="superscript"/>
        <sz val="8"/>
        <color indexed="9"/>
        <rFont val="Tahoma"/>
        <family val="2"/>
        <charset val="238"/>
      </rPr>
      <t>1</t>
    </r>
  </si>
  <si>
    <t>ROS DOBREPROGRAMY.PL (DESKTOP)</t>
  </si>
  <si>
    <t xml:space="preserve">Screening capp 1/uu + Wideoboard capp 2/uu </t>
  </si>
  <si>
    <t>Doublebillborad / Wideborad capp 3/uu</t>
  </si>
  <si>
    <t>WP Facet, WP Teleshow, WP Film, WP Opinie, WP Turystyka, WP Gwiazdy, WP Gry, WP Wiadomości, WP Kuchnia, WP Finanse, WP Dom, WP Moto, WP Kobieta, WP Tech, WP Książki, Wawalove</t>
  </si>
  <si>
    <t>WP Finanse, Money</t>
  </si>
  <si>
    <t>WP Wiadomości, WP Opinie</t>
  </si>
  <si>
    <t>WP Moto, Autokult</t>
  </si>
  <si>
    <t>Technologia</t>
  </si>
  <si>
    <t>WP Tech, dobreprogramy.pl, Komórkomania, Gadżetomania, Fotoblogia</t>
  </si>
  <si>
    <t>WP Kobieta, Kafeteria</t>
  </si>
  <si>
    <t>abcZdrowie, Parenting</t>
  </si>
  <si>
    <t>WP Sportowefakty</t>
  </si>
  <si>
    <t xml:space="preserve">Plotka </t>
  </si>
  <si>
    <t>WP Gwiazdy, Pudelek¹</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</si>
  <si>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</si>
  <si>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</si>
  <si>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</si>
  <si>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</si>
  <si>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</si>
  <si>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</si>
  <si>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</si>
  <si>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</si>
  <si>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</si>
  <si>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</si>
  <si>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</si>
  <si>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</si>
  <si>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</si>
  <si>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</si>
  <si>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</si>
  <si>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</si>
  <si>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</si>
  <si>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</si>
  <si>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</si>
  <si>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</si>
  <si>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</si>
  <si>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</si>
  <si>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Business</t>
  </si>
  <si>
    <t>Celebrieties</t>
  </si>
  <si>
    <t>Life style</t>
  </si>
  <si>
    <t>Automotive, Technology, Games</t>
  </si>
  <si>
    <t>Shopping advice</t>
  </si>
  <si>
    <t>Travel</t>
  </si>
  <si>
    <t>Pudelek</t>
  </si>
  <si>
    <t xml:space="preserve">WP </t>
  </si>
  <si>
    <t xml:space="preserve">O2 </t>
  </si>
  <si>
    <t>-</t>
  </si>
  <si>
    <t>WP + O2 [CPM]</t>
  </si>
  <si>
    <t>WP lub O2 [CPM]</t>
  </si>
  <si>
    <t>COMMERCIAL BREAK³, WELCOME SCREEN³</t>
  </si>
  <si>
    <t>COMMERCIAL BREAK³</t>
  </si>
  <si>
    <t>PREMIUM HP</t>
  </si>
  <si>
    <t>FLAT FEE</t>
  </si>
  <si>
    <t>Pudelek.pl</t>
  </si>
  <si>
    <t>WP Gwiazdy</t>
  </si>
  <si>
    <t>Mazowieckie</t>
  </si>
  <si>
    <t>Pomorskie, Wielkopolskie, Śląskie</t>
  </si>
  <si>
    <t>Dolnośląskie, Małopolskie</t>
  </si>
  <si>
    <t>Kujawsko-Pomorskie, Lubelskie, Podkarpackie, Zachodniopomorskie, Łódzkie</t>
  </si>
  <si>
    <t>Lubuskie, Opolskie, Podlaskie, Warmińsko-mazurskie, Świętokrzyskie</t>
  </si>
  <si>
    <t>15"/30"</t>
  </si>
  <si>
    <t>15"</t>
  </si>
  <si>
    <t>30"</t>
  </si>
  <si>
    <t>80 PLN</t>
  </si>
  <si>
    <t>PAKIET SPECJALNY</t>
  </si>
  <si>
    <t>RECTANGLE,</t>
  </si>
  <si>
    <t>DOUBLE BILLBOARD,</t>
  </si>
  <si>
    <t>TRIPLE BILLBOARD,</t>
  </si>
  <si>
    <t>SCREENING 200³</t>
  </si>
  <si>
    <t>Instream Video Ad CPM, Instream Video SkipAd CPM</t>
  </si>
  <si>
    <t>MAILING</t>
  </si>
  <si>
    <t>FLOATING HALFPAGE</t>
  </si>
  <si>
    <t>MOBILE RECTANGLE</t>
  </si>
  <si>
    <t>HALFPAGE,</t>
  </si>
  <si>
    <t>WIDEBOARD</t>
  </si>
  <si>
    <t>MOBILE SCREENING³</t>
  </si>
  <si>
    <t>WIDEO</t>
  </si>
  <si>
    <t>120 PLN</t>
  </si>
  <si>
    <t>180 PLN</t>
  </si>
  <si>
    <t>184 PLN</t>
  </si>
  <si>
    <t>200 PLN</t>
  </si>
  <si>
    <t>100 PLN</t>
  </si>
  <si>
    <t>150 PLN</t>
  </si>
  <si>
    <t>76 PLN</t>
  </si>
  <si>
    <t>52 PLN</t>
  </si>
  <si>
    <t>145 PLN</t>
  </si>
  <si>
    <t>88 PLN</t>
  </si>
  <si>
    <t>96 PLN</t>
  </si>
  <si>
    <t>154 PLN</t>
  </si>
  <si>
    <t>170 PLN</t>
  </si>
  <si>
    <t>+50%</t>
  </si>
  <si>
    <t>+30%</t>
  </si>
  <si>
    <t>+10%</t>
  </si>
  <si>
    <t>+15%</t>
  </si>
  <si>
    <t>+100%</t>
  </si>
  <si>
    <t>+20%</t>
  </si>
  <si>
    <t>+1%</t>
  </si>
  <si>
    <t>+5%</t>
  </si>
  <si>
    <t>+40%</t>
  </si>
  <si>
    <t>+11.5%</t>
  </si>
  <si>
    <t>+15 PLN</t>
  </si>
  <si>
    <t xml:space="preserve">http://reklama.wp.pl/kat,1039751,dokumenty.html </t>
  </si>
  <si>
    <t>Midbox FF</t>
  </si>
  <si>
    <t>10 000 UU</t>
  </si>
  <si>
    <t>2 x 10 000 UU</t>
  </si>
  <si>
    <t>3 x 10 000 UU</t>
  </si>
  <si>
    <t>4 x 10 000 UU</t>
  </si>
  <si>
    <t>12 500 UU</t>
  </si>
  <si>
    <t>2 x 12 500 UU</t>
  </si>
  <si>
    <t>3 x 12 500 UU</t>
  </si>
  <si>
    <t>4 x 12 500 UU</t>
  </si>
  <si>
    <t>Retail Dniówka</t>
  </si>
  <si>
    <t>Money ROS</t>
  </si>
  <si>
    <t>WP Opinie</t>
  </si>
  <si>
    <t>MEGASCREENING</t>
  </si>
  <si>
    <t>Viewable CPM¹</t>
  </si>
  <si>
    <t>VCPM RC</t>
  </si>
  <si>
    <t>ROS DOBREPROGRAMY.PL (MOBILE)</t>
  </si>
  <si>
    <t xml:space="preserve"> 110 000 PLN</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</si>
  <si>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</si>
  <si>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</si>
  <si>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</si>
  <si>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</si>
  <si>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</si>
  <si>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</si>
  <si>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</si>
  <si>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</si>
  <si>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</si>
  <si>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</si>
  <si>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</si>
  <si>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</si>
  <si>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</si>
  <si>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</si>
  <si>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PLOTKA NATYWNA¹</t>
  </si>
  <si>
    <t>WPM ZASIĘG INSTREAM</t>
  </si>
  <si>
    <t>PLOTKA SPONSOROWANA</t>
  </si>
  <si>
    <t>Flat Fee 1 dzień / net net</t>
  </si>
  <si>
    <t>20 000 PLN</t>
  </si>
  <si>
    <t>Flat Fee 7 dni / net net</t>
  </si>
  <si>
    <t>25 000 PLN</t>
  </si>
  <si>
    <t>PLOTKI SPONSOROWANE I NATYWNE</t>
  </si>
  <si>
    <t>65 PLN</t>
  </si>
  <si>
    <t>174 PLN</t>
  </si>
  <si>
    <t>Flat Fee / dzień</t>
  </si>
  <si>
    <t>styczeń-październik</t>
  </si>
  <si>
    <t>listopad - grudzień</t>
  </si>
  <si>
    <t>DZIEŃ</t>
  </si>
  <si>
    <t>REKLAMA FLAT FEE - pozostałe serwisy WPM</t>
  </si>
  <si>
    <t>MIEJSCE EMISJI</t>
  </si>
  <si>
    <t>Pakiet serwisów Premium</t>
  </si>
  <si>
    <t>PANEL PREMIUM</t>
  </si>
  <si>
    <t>RECTANGLE</t>
  </si>
  <si>
    <t>COMMERCIAL BREAK</t>
  </si>
  <si>
    <t>REKLAMA FLAT FEE - mobile Poczta WP i o2</t>
  </si>
  <si>
    <t>Poczta WP</t>
  </si>
  <si>
    <t>Poczta o2</t>
  </si>
  <si>
    <t>LOGIN BOKS</t>
  </si>
  <si>
    <t>BANNER W INTERFEJSIE</t>
  </si>
  <si>
    <t>REKLAMA CPM w aplikacji</t>
  </si>
  <si>
    <t>Flat Fee / tydzień</t>
  </si>
  <si>
    <t>Open FM</t>
  </si>
  <si>
    <t>WP Pilot</t>
  </si>
  <si>
    <t>Program TV</t>
  </si>
  <si>
    <t>BANNER</t>
  </si>
  <si>
    <t>CPM</t>
  </si>
  <si>
    <t>vCPM (1 000 widzialnych odsłon)</t>
  </si>
  <si>
    <t>Portal Money.pl</t>
  </si>
  <si>
    <t>WP Pogoda</t>
  </si>
  <si>
    <t>Wawalove</t>
  </si>
  <si>
    <t>WP Program TV</t>
  </si>
  <si>
    <t>WP Teleshow</t>
  </si>
  <si>
    <t>WP Wideo</t>
  </si>
  <si>
    <t>o2 serwisy</t>
  </si>
  <si>
    <t>o2 warstwy</t>
  </si>
  <si>
    <t>OpenFM</t>
  </si>
  <si>
    <t>Kafeteria.pl</t>
  </si>
  <si>
    <t>WP Tech</t>
  </si>
  <si>
    <t>WP Fitness</t>
  </si>
  <si>
    <t>WP Gry</t>
  </si>
  <si>
    <t>dobreprogramy.pl⁵</t>
  </si>
  <si>
    <t>Medycyna24</t>
  </si>
  <si>
    <t>Nerwica.com</t>
  </si>
  <si>
    <t>PUSH REKLAMOWY</t>
  </si>
  <si>
    <t>brak</t>
  </si>
  <si>
    <t>• Artykuł sponsorowany bez gwarancji jest promowany zajawką na SG serwisu. W serwisach PAKO, wpis spada w streamie treści. W pozostałych serwisach zajawka artykułu jest promowana przez 24h.</t>
  </si>
  <si>
    <t>Pakiet Money ROS (nowa wersja serwisu)</t>
  </si>
  <si>
    <t>Double Billboard lub Halfpage</t>
  </si>
  <si>
    <t>Screening 200 + Double Billboard</t>
  </si>
  <si>
    <t>cap3xuu / dzień</t>
  </si>
  <si>
    <t>Banner górny</t>
  </si>
  <si>
    <t>Banner XL</t>
  </si>
  <si>
    <t>cap1xuu/godzinę / dzień</t>
  </si>
  <si>
    <t>Glonews FF</t>
  </si>
  <si>
    <t>Skyscraper</t>
  </si>
  <si>
    <t>Bottom Box</t>
  </si>
  <si>
    <t>Logout Box</t>
  </si>
  <si>
    <t>REKLAMA NATYWNA FLAT FEE - m.wp.pl (strona główna)</t>
  </si>
  <si>
    <t>Wiadomości</t>
  </si>
  <si>
    <t>Flat Fee / dzień / net net</t>
  </si>
  <si>
    <t>NATIVE AD w module tematycznym</t>
  </si>
  <si>
    <t>Flat Fee / tydzień / net net</t>
  </si>
  <si>
    <t>Biznes</t>
  </si>
  <si>
    <t>Gwiazdy</t>
  </si>
  <si>
    <t>Moto</t>
  </si>
  <si>
    <t>Styl Życia</t>
  </si>
  <si>
    <t>cap 3 / uu / dzień</t>
  </si>
  <si>
    <t>cap 1/uu / godzinę / dzień</t>
  </si>
  <si>
    <t xml:space="preserve"> </t>
  </si>
  <si>
    <t>CONTENT BOX rotacyjny</t>
  </si>
  <si>
    <t>mobilna Strona Główna WP.PL, moduły tematyczne: Sport, Biznes, Gwiazdy, Moto&amp;Tech, Styl Życia</t>
  </si>
  <si>
    <t>pakiet dzienny 1 000 000 pv / 80 000 zł RC (vCPM 80 PLN)</t>
  </si>
  <si>
    <t>Emisja formatu z efektem parallaxy</t>
  </si>
  <si>
    <r>
      <rPr>
        <vertAlign val="superscript"/>
        <sz val="8"/>
        <color theme="1"/>
        <rFont val="Tahoma"/>
        <family val="2"/>
        <charset val="238"/>
      </rPr>
      <t>1</t>
    </r>
    <r>
      <rPr>
        <sz val="8"/>
        <color theme="1"/>
        <rFont val="Tahoma"/>
        <family val="2"/>
        <charset val="238"/>
      </rPr>
      <t xml:space="preserve"> możliwość emisji formatu z efektem parallaxy: +15% do ceny</t>
    </r>
  </si>
  <si>
    <t>+75%</t>
  </si>
  <si>
    <t>Rich Media w kreacji</t>
  </si>
  <si>
    <t>WP Money (bez subdomen)</t>
  </si>
  <si>
    <r>
      <t>PANEL PREMIUM</t>
    </r>
    <r>
      <rPr>
        <b/>
        <vertAlign val="superscript"/>
        <sz val="8"/>
        <color theme="0"/>
        <rFont val="Tahoma"/>
        <family val="2"/>
        <charset val="238"/>
      </rPr>
      <t>1</t>
    </r>
  </si>
  <si>
    <r>
      <rPr>
        <vertAlign val="superscript"/>
        <sz val="8"/>
        <color theme="1"/>
        <rFont val="Tahoma"/>
        <family val="2"/>
        <charset val="238"/>
      </rPr>
      <t>1</t>
    </r>
    <r>
      <rPr>
        <sz val="8"/>
        <color theme="1"/>
        <rFont val="Tahoma"/>
        <family val="2"/>
        <charset val="238"/>
      </rPr>
      <t xml:space="preserve"> FullPage Mobile Panel Premium +25%</t>
    </r>
  </si>
  <si>
    <r>
      <t xml:space="preserve">RECTANGLE </t>
    </r>
    <r>
      <rPr>
        <b/>
        <vertAlign val="superscript"/>
        <sz val="8"/>
        <color theme="0"/>
        <rFont val="Tahoma"/>
        <family val="2"/>
        <charset val="238"/>
      </rPr>
      <t>1,2</t>
    </r>
  </si>
  <si>
    <r>
      <t xml:space="preserve">HALFPAGE </t>
    </r>
    <r>
      <rPr>
        <b/>
        <vertAlign val="superscript"/>
        <sz val="8"/>
        <color theme="0"/>
        <rFont val="Tahoma"/>
        <family val="2"/>
        <charset val="238"/>
      </rPr>
      <t>1,2</t>
    </r>
  </si>
  <si>
    <t>Karuzela w rectangle / halfpage’u</t>
  </si>
  <si>
    <t>+ 50%</t>
  </si>
  <si>
    <r>
      <rPr>
        <vertAlign val="superscript"/>
        <sz val="8"/>
        <color theme="1"/>
        <rFont val="Tahoma"/>
        <family val="2"/>
        <charset val="238"/>
      </rPr>
      <t>2</t>
    </r>
    <r>
      <rPr>
        <sz val="8"/>
        <color theme="1"/>
        <rFont val="Tahoma"/>
        <family val="2"/>
        <charset val="238"/>
      </rPr>
      <t xml:space="preserve"> karuzela w rectangle / halfpage’u: +50%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</si>
</sst>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zł&quot;;[Red]\-#,##0\ &quot;zł&quot;"/>
    <numFmt numFmtId="44" formatCode="_-* #,##0.00\ &quot;zł&quot;_-;\-* #,##0.00\ &quot;zł&quot;_-;_-* &quot;-&quot;??\ &quot;zł&quot;_-;_-@_-"/>
    <numFmt numFmtId="43" formatCode="_-* #,##0.00\ _z_ł_-;\-* #,##0.00\ _z_ł_-;_-* &quot;-&quot;??\ _z_ł_-;_-@_-"/>
    <numFmt numFmtId="164" formatCode="#,##0.00\ &quot;zł&quot;"/>
    <numFmt numFmtId="165" formatCode="#,##0\ &quot;zł&quot;"/>
    <numFmt numFmtId="166" formatCode="#,##0.0\ &quot;zł&quot;"/>
    <numFmt numFmtId="167" formatCode="#,##0%"/>
    <numFmt numFmtId="168" formatCode="#,##0&quot; &quot;[$zł-415]"/>
    <numFmt numFmtId="169" formatCode="#,##0\ [$PLN]"/>
    <numFmt numFmtId="170" formatCode="#,##0\ [$PLN];[Red]\-#,##0\ [$PLN]"/>
    <numFmt numFmtId="171" formatCode="#,##0.00\ [$PLN]"/>
    <numFmt numFmtId="172" formatCode="#,##0\ [$PLN];\-#,##0\ [$PLN]"/>
  </numFmts>
  <fonts count="75">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0000"/>
      <name val="Tahoma"/>
      <family val="2"/>
    </font>
    <font>
      <b/>
      <sz val="8"/>
      <color rgb="FFFFFFFF"/>
      <name val="Tahoma"/>
      <family val="2"/>
    </font>
    <font>
      <sz val="8"/>
      <color theme="1"/>
      <name val="Calibri"/>
      <family val="2"/>
      <charset val="238"/>
      <scheme val="minor"/>
    </font>
    <font>
      <b/>
      <sz val="8"/>
      <color theme="0" tint="-0.249977111117893"/>
      <name val="Tahoma"/>
      <family val="2"/>
    </font>
    <font>
      <b/>
      <sz val="8"/>
      <color rgb="FFFF0000"/>
      <name val="Tahoma"/>
      <family val="2"/>
      <charset val="238"/>
    </font>
    <font>
      <sz val="12"/>
      <color theme="1"/>
      <name val="Tahoma"/>
      <family val="2"/>
      <charset val="238"/>
    </font>
    <font>
      <i/>
      <sz val="8"/>
      <color theme="1"/>
      <name val="Tahoma"/>
      <family val="2"/>
      <charset val="238"/>
    </font>
    <font>
      <b/>
      <sz val="8"/>
      <color theme="0" tint="-0.34998626667073579"/>
      <name val="Tahoma"/>
      <family val="2"/>
      <charset val="238"/>
    </font>
    <font>
      <b/>
      <sz val="10"/>
      <color theme="0"/>
      <name val="Tahoma"/>
      <family val="2"/>
      <charset val="238"/>
    </font>
    <font>
      <b/>
      <sz val="8"/>
      <color theme="1"/>
      <name val="Tahoma"/>
      <family val="2"/>
      <charset val="238"/>
    </font>
    <font>
      <sz val="6"/>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s>
  <fills count="24">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s>
  <borders count="120">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style="thin">
        <color indexed="64"/>
      </left>
      <right style="thin">
        <color indexed="64"/>
      </right>
      <top style="thin">
        <color theme="3"/>
      </top>
      <bottom style="hair">
        <color indexed="64"/>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style="thin">
        <color indexed="64"/>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top style="thin">
        <color theme="0"/>
      </top>
      <bottom style="thin">
        <color rgb="FFFF0000"/>
      </bottom>
      <diagonal/>
    </border>
    <border>
      <left/>
      <right style="thin">
        <color theme="0"/>
      </right>
      <top/>
      <bottom/>
      <diagonal/>
    </border>
    <border>
      <left style="thin">
        <color indexed="64"/>
      </left>
      <right style="hair">
        <color indexed="64"/>
      </right>
      <top/>
      <bottom style="thin">
        <color theme="1"/>
      </bottom>
      <diagonal/>
    </border>
    <border>
      <left style="thin">
        <color theme="1"/>
      </left>
      <right style="hair">
        <color indexed="64"/>
      </right>
      <top/>
      <bottom style="thin">
        <color theme="1"/>
      </bottom>
      <diagonal/>
    </border>
    <border>
      <left/>
      <right style="thin">
        <color theme="1"/>
      </right>
      <top/>
      <bottom style="thin">
        <color theme="1"/>
      </bottom>
      <diagonal/>
    </border>
    <border>
      <left style="thin">
        <color theme="1"/>
      </left>
      <right style="hair">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right style="thin">
        <color theme="1" tint="0.14999847407452621"/>
      </right>
      <top style="thin">
        <color indexed="64"/>
      </top>
      <bottom style="thin">
        <color indexed="64"/>
      </bottom>
      <diagonal/>
    </border>
    <border>
      <left style="thin">
        <color indexed="64"/>
      </left>
      <right style="thin">
        <color indexed="64"/>
      </right>
      <top style="thin">
        <color theme="0"/>
      </top>
      <bottom/>
      <diagonal/>
    </border>
    <border>
      <left/>
      <right style="thin">
        <color indexed="64"/>
      </right>
      <top/>
      <bottom style="thin">
        <color theme="0"/>
      </bottom>
      <diagonal/>
    </border>
    <border>
      <left/>
      <right/>
      <top style="thin">
        <color rgb="FFC00000"/>
      </top>
      <bottom style="hair">
        <color indexed="64"/>
      </bottom>
      <diagonal/>
    </border>
    <border>
      <left style="thin">
        <color indexed="64"/>
      </left>
      <right/>
      <top style="thin">
        <color theme="7" tint="-0.249977111117893"/>
      </top>
      <bottom style="hair">
        <color indexed="64"/>
      </bottom>
      <diagonal/>
    </border>
    <border>
      <left/>
      <right/>
      <top style="thin">
        <color theme="7" tint="-0.249977111117893"/>
      </top>
      <bottom style="hair">
        <color indexed="64"/>
      </bottom>
      <diagonal/>
    </border>
    <border>
      <left/>
      <right style="thin">
        <color indexed="64"/>
      </right>
      <top style="thin">
        <color theme="7" tint="-0.249977111117893"/>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rgb="FFC00000"/>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right style="thick">
        <color rgb="FFFF0000"/>
      </right>
      <top/>
      <bottom style="thin">
        <color indexed="64"/>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style="thick">
        <color rgb="FFFF0000"/>
      </right>
      <top/>
      <bottom style="thick">
        <color rgb="FFFF0000"/>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right style="thin">
        <color theme="1"/>
      </right>
      <top style="thin">
        <color indexed="64"/>
      </top>
      <bottom style="thin">
        <color indexed="64"/>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style="thin">
        <color theme="1"/>
      </left>
      <right/>
      <top/>
      <bottom/>
      <diagonal/>
    </border>
    <border>
      <left/>
      <right/>
      <top style="thin">
        <color theme="6" tint="0.79998168889431442"/>
      </top>
      <bottom/>
      <diagonal/>
    </border>
    <border>
      <left style="thin">
        <color indexed="64"/>
      </left>
      <right/>
      <top style="thin">
        <color rgb="FFC00000"/>
      </top>
      <bottom/>
      <diagonal/>
    </border>
    <border>
      <left/>
      <right style="thin">
        <color indexed="64"/>
      </right>
      <top style="thin">
        <color rgb="FFC00000"/>
      </top>
      <bottom/>
      <diagonal/>
    </border>
  </borders>
  <cellStyleXfs count="39">
    <xf numFmtId="0" fontId="0" fillId="0" borderId="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061">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readingOrder="1"/>
    </xf>
    <xf numFmtId="9" fontId="30" fillId="4" borderId="0" xfId="0" applyNumberFormat="1" applyFont="1" applyFill="1"/>
    <xf numFmtId="164" fontId="30" fillId="4" borderId="0" xfId="0" applyNumberFormat="1" applyFont="1" applyFill="1" applyBorder="1" applyAlignment="1">
      <alignment horizontal="center" vertical="center"/>
    </xf>
    <xf numFmtId="166" fontId="30" fillId="4" borderId="0" xfId="0" applyNumberFormat="1" applyFont="1" applyFill="1" applyBorder="1" applyAlignment="1">
      <alignment horizontal="center" vertical="center"/>
    </xf>
    <xf numFmtId="0" fontId="30" fillId="4" borderId="38"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4" fontId="30" fillId="4" borderId="0" xfId="0" applyNumberFormat="1" applyFont="1" applyFill="1" applyBorder="1" applyAlignment="1">
      <alignment vertical="center"/>
    </xf>
    <xf numFmtId="165" fontId="37" fillId="6" borderId="3" xfId="0" applyNumberFormat="1" applyFont="1" applyFill="1" applyBorder="1" applyAlignment="1">
      <alignment horizontal="center" vertical="center"/>
    </xf>
    <xf numFmtId="0" fontId="32" fillId="7" borderId="0" xfId="0" applyNumberFormat="1" applyFont="1" applyFill="1" applyBorder="1" applyAlignment="1">
      <alignment horizontal="center" vertical="center" wrapText="1"/>
    </xf>
    <xf numFmtId="165" fontId="37" fillId="8" borderId="3" xfId="0" applyNumberFormat="1" applyFont="1" applyFill="1" applyBorder="1" applyAlignment="1">
      <alignment horizontal="center" vertical="center"/>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8"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 fillId="4" borderId="0" xfId="0" applyFont="1" applyFill="1" applyAlignment="1">
      <alignment vertical="center"/>
    </xf>
    <xf numFmtId="0" fontId="30" fillId="4" borderId="0" xfId="0" applyFont="1" applyFill="1"/>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8"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7"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5"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0" fillId="4" borderId="0" xfId="0" applyFill="1" applyBorder="1" applyAlignment="1">
      <alignment vertical="center"/>
    </xf>
    <xf numFmtId="6" fontId="30" fillId="4" borderId="0" xfId="0" applyNumberFormat="1" applyFont="1" applyFill="1" applyBorder="1" applyAlignment="1">
      <alignment vertical="center"/>
    </xf>
    <xf numFmtId="0" fontId="10" fillId="4" borderId="0" xfId="0" applyFont="1" applyFill="1" applyBorder="1" applyAlignment="1">
      <alignment vertical="center"/>
    </xf>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0" fillId="4" borderId="39" xfId="0"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38"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5" fontId="37" fillId="6" borderId="0" xfId="0" applyNumberFormat="1" applyFont="1" applyFill="1" applyBorder="1" applyAlignment="1">
      <alignment horizontal="center" vertical="center"/>
    </xf>
    <xf numFmtId="165"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5"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40" xfId="0" applyNumberFormat="1" applyFont="1" applyFill="1" applyBorder="1"/>
    <xf numFmtId="0" fontId="34" fillId="13" borderId="40" xfId="0" applyFont="1" applyFill="1" applyBorder="1"/>
    <xf numFmtId="0" fontId="30" fillId="13" borderId="0" xfId="0" applyFont="1" applyFill="1"/>
    <xf numFmtId="0" fontId="30" fillId="13" borderId="41" xfId="0" applyFont="1" applyFill="1" applyBorder="1"/>
    <xf numFmtId="0" fontId="34" fillId="13" borderId="41" xfId="0" applyFont="1" applyFill="1" applyBorder="1"/>
    <xf numFmtId="0" fontId="30" fillId="13" borderId="40" xfId="0" applyFont="1" applyFill="1" applyBorder="1"/>
    <xf numFmtId="0" fontId="34" fillId="9" borderId="0" xfId="0" applyFont="1" applyFill="1"/>
    <xf numFmtId="0" fontId="45" fillId="9" borderId="39" xfId="0" applyFont="1" applyFill="1" applyBorder="1" applyAlignment="1">
      <alignment vertical="center" wrapText="1" readingOrder="1"/>
    </xf>
    <xf numFmtId="0" fontId="30" fillId="4" borderId="0" xfId="0" applyFont="1" applyFill="1"/>
    <xf numFmtId="0" fontId="34" fillId="4" borderId="42"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69" fontId="34" fillId="4" borderId="43" xfId="0" applyNumberFormat="1" applyFont="1" applyFill="1" applyBorder="1" applyAlignment="1">
      <alignment horizontal="center" vertical="center"/>
    </xf>
    <xf numFmtId="169" fontId="34" fillId="13" borderId="44"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70" fontId="19" fillId="4" borderId="8" xfId="1" applyNumberFormat="1" applyFont="1" applyFill="1" applyBorder="1" applyAlignment="1">
      <alignment horizontal="center" vertical="center"/>
    </xf>
    <xf numFmtId="170" fontId="19" fillId="4" borderId="9" xfId="1" applyNumberFormat="1" applyFont="1" applyFill="1" applyBorder="1" applyAlignment="1">
      <alignment horizontal="center" vertical="center"/>
    </xf>
    <xf numFmtId="170" fontId="19" fillId="4" borderId="4" xfId="1" applyNumberFormat="1" applyFont="1" applyFill="1" applyBorder="1" applyAlignment="1">
      <alignment horizontal="center" vertical="center"/>
    </xf>
    <xf numFmtId="170" fontId="19" fillId="4" borderId="10" xfId="1" applyNumberFormat="1" applyFont="1" applyFill="1" applyBorder="1" applyAlignment="1">
      <alignment horizontal="center" vertical="center"/>
    </xf>
    <xf numFmtId="0" fontId="30" fillId="13" borderId="0" xfId="0" applyFont="1" applyFill="1" applyBorder="1"/>
    <xf numFmtId="169" fontId="47" fillId="4" borderId="11"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30" fillId="4" borderId="0" xfId="0" applyFont="1" applyFill="1"/>
    <xf numFmtId="169" fontId="34" fillId="4" borderId="8" xfId="0" applyNumberFormat="1" applyFont="1" applyFill="1" applyBorder="1" applyAlignment="1">
      <alignment horizontal="center" vertical="center"/>
    </xf>
    <xf numFmtId="169" fontId="34" fillId="4" borderId="9" xfId="0" applyNumberFormat="1" applyFont="1" applyFill="1" applyBorder="1" applyAlignment="1">
      <alignment horizontal="center" vertical="center"/>
    </xf>
    <xf numFmtId="169"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16" fillId="4" borderId="0" xfId="0" applyFont="1" applyFill="1"/>
    <xf numFmtId="0" fontId="47" fillId="4" borderId="0" xfId="0" applyFont="1" applyFill="1"/>
    <xf numFmtId="0" fontId="48" fillId="7" borderId="15" xfId="0" applyNumberFormat="1" applyFont="1" applyFill="1" applyBorder="1" applyAlignment="1">
      <alignment horizontal="center" vertical="center" wrapText="1"/>
    </xf>
    <xf numFmtId="165" fontId="34" fillId="4" borderId="0" xfId="0" applyNumberFormat="1"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7" xfId="11" applyFont="1" applyFill="1" applyBorder="1" applyAlignment="1">
      <alignment horizontal="left" indent="1"/>
    </xf>
    <xf numFmtId="0" fontId="47" fillId="4" borderId="12" xfId="11" applyFont="1" applyFill="1" applyBorder="1" applyAlignment="1">
      <alignment horizontal="left" indent="1"/>
    </xf>
    <xf numFmtId="0" fontId="47" fillId="4" borderId="6" xfId="11" applyFont="1" applyFill="1" applyBorder="1" applyAlignment="1">
      <alignment horizontal="left" indent="1"/>
    </xf>
    <xf numFmtId="0" fontId="47" fillId="4" borderId="7" xfId="11" applyFont="1" applyFill="1" applyBorder="1" applyAlignment="1">
      <alignment horizontal="left" indent="1"/>
    </xf>
    <xf numFmtId="0" fontId="47" fillId="4" borderId="21" xfId="11" applyFont="1" applyFill="1" applyBorder="1" applyAlignment="1">
      <alignment horizontal="left" indent="1"/>
    </xf>
    <xf numFmtId="0" fontId="47" fillId="4" borderId="2" xfId="11" applyFont="1" applyFill="1" applyBorder="1" applyAlignment="1">
      <alignment horizontal="left" indent="1"/>
    </xf>
    <xf numFmtId="0" fontId="47" fillId="4" borderId="11" xfId="11" applyFont="1" applyFill="1" applyBorder="1" applyAlignment="1">
      <alignment horizontal="left" indent="1"/>
    </xf>
    <xf numFmtId="0" fontId="34" fillId="4" borderId="14" xfId="0" applyFont="1" applyFill="1" applyBorder="1" applyAlignment="1">
      <alignment horizontal="center" vertical="center"/>
    </xf>
    <xf numFmtId="0" fontId="34" fillId="4" borderId="47" xfId="0" applyFont="1" applyFill="1" applyBorder="1" applyAlignment="1">
      <alignment horizontal="left" vertical="center" wrapText="1" indent="1"/>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49" xfId="0" applyFont="1" applyFill="1" applyBorder="1" applyAlignment="1">
      <alignment horizontal="center" vertical="center"/>
    </xf>
    <xf numFmtId="0" fontId="16" fillId="4" borderId="0" xfId="0" applyFont="1" applyFill="1" applyBorder="1" applyAlignment="1">
      <alignment horizontal="left" vertical="center"/>
    </xf>
    <xf numFmtId="0" fontId="52" fillId="9" borderId="0" xfId="8" applyNumberFormat="1" applyFont="1" applyFill="1" applyBorder="1" applyAlignment="1">
      <alignment horizontal="center" vertical="center"/>
    </xf>
    <xf numFmtId="0" fontId="52" fillId="9" borderId="38" xfId="8"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169" fontId="19" fillId="4" borderId="12" xfId="0" applyNumberFormat="1" applyFont="1" applyFill="1" applyBorder="1" applyAlignment="1">
      <alignment horizontal="center" vertical="center"/>
    </xf>
    <xf numFmtId="169" fontId="19" fillId="4" borderId="7"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0" fontId="30" fillId="4" borderId="0" xfId="0" applyFont="1" applyFill="1"/>
    <xf numFmtId="169" fontId="34" fillId="4" borderId="16" xfId="0" applyNumberFormat="1" applyFont="1" applyFill="1" applyBorder="1" applyAlignment="1">
      <alignment horizontal="center" vertical="center"/>
    </xf>
    <xf numFmtId="169" fontId="19" fillId="4" borderId="4" xfId="0" applyNumberFormat="1" applyFont="1" applyFill="1" applyBorder="1" applyAlignment="1">
      <alignment horizontal="center" vertical="center"/>
    </xf>
    <xf numFmtId="169" fontId="19" fillId="4" borderId="9" xfId="0" applyNumberFormat="1" applyFont="1" applyFill="1" applyBorder="1" applyAlignment="1">
      <alignment horizontal="center" vertical="center"/>
    </xf>
    <xf numFmtId="169" fontId="34" fillId="4" borderId="4" xfId="0" applyNumberFormat="1" applyFont="1" applyFill="1" applyBorder="1" applyAlignment="1">
      <alignment horizontal="center" vertical="center"/>
    </xf>
    <xf numFmtId="169" fontId="19" fillId="4" borderId="5" xfId="0" applyNumberFormat="1" applyFont="1" applyFill="1" applyBorder="1" applyAlignment="1">
      <alignment horizontal="center" vertical="center"/>
    </xf>
    <xf numFmtId="169" fontId="34" fillId="4" borderId="5" xfId="0" applyNumberFormat="1" applyFont="1" applyFill="1" applyBorder="1" applyAlignment="1">
      <alignment horizontal="center" vertical="center"/>
    </xf>
    <xf numFmtId="169" fontId="34" fillId="4" borderId="10" xfId="0" applyNumberFormat="1" applyFont="1" applyFill="1" applyBorder="1" applyAlignment="1">
      <alignment horizontal="center" vertical="center"/>
    </xf>
    <xf numFmtId="169" fontId="19" fillId="4" borderId="8" xfId="0"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169" fontId="19" fillId="4" borderId="15" xfId="0" applyNumberFormat="1" applyFont="1" applyFill="1" applyBorder="1" applyAlignment="1">
      <alignment horizontal="center" vertical="center"/>
    </xf>
    <xf numFmtId="172" fontId="19" fillId="4" borderId="14" xfId="35" applyNumberFormat="1" applyFont="1" applyFill="1" applyBorder="1" applyAlignment="1">
      <alignment horizontal="center" vertical="center"/>
    </xf>
    <xf numFmtId="172" fontId="19" fillId="4" borderId="9" xfId="35" applyNumberFormat="1" applyFont="1" applyFill="1" applyBorder="1" applyAlignment="1">
      <alignment horizontal="center" vertical="center"/>
    </xf>
    <xf numFmtId="172" fontId="19" fillId="4" borderId="5" xfId="35" applyNumberFormat="1" applyFont="1" applyFill="1" applyBorder="1" applyAlignment="1">
      <alignment horizontal="center" vertical="center"/>
    </xf>
    <xf numFmtId="169" fontId="47" fillId="4" borderId="11" xfId="8" applyNumberFormat="1" applyFont="1" applyFill="1" applyBorder="1" applyAlignment="1">
      <alignment horizontal="center"/>
    </xf>
    <xf numFmtId="169" fontId="47" fillId="4" borderId="8" xfId="8" applyNumberFormat="1" applyFont="1" applyFill="1" applyBorder="1" applyAlignment="1">
      <alignment horizontal="center"/>
    </xf>
    <xf numFmtId="169" fontId="47" fillId="4" borderId="12" xfId="8" applyNumberFormat="1" applyFont="1" applyFill="1" applyBorder="1" applyAlignment="1">
      <alignment horizontal="center"/>
    </xf>
    <xf numFmtId="169" fontId="47" fillId="4" borderId="9" xfId="8" applyNumberFormat="1" applyFont="1" applyFill="1" applyBorder="1" applyAlignment="1">
      <alignment horizontal="center"/>
    </xf>
    <xf numFmtId="169" fontId="47" fillId="4" borderId="7" xfId="8" applyNumberFormat="1" applyFont="1" applyFill="1" applyBorder="1" applyAlignment="1">
      <alignment horizontal="center"/>
    </xf>
    <xf numFmtId="169" fontId="47" fillId="4" borderId="10" xfId="8" applyNumberFormat="1" applyFont="1" applyFill="1" applyBorder="1" applyAlignment="1">
      <alignment horizontal="center"/>
    </xf>
    <xf numFmtId="0" fontId="47" fillId="4" borderId="0" xfId="11" applyFont="1" applyFill="1" applyBorder="1" applyAlignment="1">
      <alignment horizontal="left" indent="1"/>
    </xf>
    <xf numFmtId="169" fontId="47" fillId="4" borderId="0" xfId="8" applyNumberFormat="1" applyFont="1" applyFill="1" applyBorder="1" applyAlignment="1">
      <alignment horizontal="center"/>
    </xf>
    <xf numFmtId="0" fontId="34" fillId="4" borderId="51" xfId="0" applyFont="1" applyFill="1" applyBorder="1" applyAlignment="1">
      <alignment horizontal="center" vertical="center" textRotation="90"/>
    </xf>
    <xf numFmtId="0" fontId="30" fillId="4" borderId="51" xfId="0" applyFont="1" applyFill="1" applyBorder="1"/>
    <xf numFmtId="169"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5" fontId="41" fillId="4" borderId="0" xfId="8" applyNumberFormat="1" applyFont="1" applyFill="1" applyBorder="1" applyAlignment="1"/>
    <xf numFmtId="0" fontId="34" fillId="4" borderId="0" xfId="0" applyFont="1" applyFill="1" applyAlignment="1">
      <alignment vertical="center"/>
    </xf>
    <xf numFmtId="169" fontId="16" fillId="6" borderId="14" xfId="0" applyNumberFormat="1" applyFont="1" applyFill="1" applyBorder="1" applyAlignment="1">
      <alignment horizontal="center" vertical="center"/>
    </xf>
    <xf numFmtId="0" fontId="30" fillId="4" borderId="0" xfId="0" applyFont="1" applyFill="1"/>
    <xf numFmtId="0" fontId="34" fillId="4" borderId="0" xfId="0" applyFont="1" applyFill="1" applyBorder="1" applyAlignment="1">
      <alignment horizontal="left" vertical="center" indent="1"/>
    </xf>
    <xf numFmtId="0" fontId="54" fillId="9" borderId="52" xfId="0" applyFont="1" applyFill="1" applyBorder="1" applyAlignment="1">
      <alignment horizontal="center" vertical="center" wrapText="1" readingOrder="1"/>
    </xf>
    <xf numFmtId="0" fontId="21" fillId="15" borderId="53" xfId="0" applyFont="1" applyFill="1" applyBorder="1" applyAlignment="1">
      <alignment horizontal="center" vertical="center" wrapText="1"/>
    </xf>
    <xf numFmtId="0" fontId="45" fillId="15" borderId="0" xfId="8" applyFont="1" applyFill="1" applyBorder="1" applyAlignment="1">
      <alignment horizontal="center" vertical="center"/>
    </xf>
    <xf numFmtId="0" fontId="45" fillId="15" borderId="38" xfId="8" applyFont="1" applyFill="1" applyBorder="1" applyAlignment="1">
      <alignment horizontal="center" vertical="center"/>
    </xf>
    <xf numFmtId="171" fontId="55" fillId="4" borderId="10" xfId="8" applyNumberFormat="1" applyFont="1" applyFill="1" applyBorder="1" applyAlignment="1">
      <alignment horizontal="center" vertical="center"/>
    </xf>
    <xf numFmtId="0" fontId="34" fillId="4" borderId="0" xfId="0" applyFont="1" applyFill="1" applyBorder="1" applyAlignment="1">
      <alignment horizontal="center" vertical="center"/>
    </xf>
    <xf numFmtId="0" fontId="34" fillId="4" borderId="0" xfId="0" applyFont="1" applyFill="1" applyBorder="1" applyAlignment="1">
      <alignment horizontal="left"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49" fontId="19" fillId="4" borderId="16" xfId="0" applyNumberFormat="1" applyFont="1" applyFill="1" applyBorder="1" applyAlignment="1">
      <alignment horizontal="center" vertical="center"/>
    </xf>
    <xf numFmtId="0" fontId="34" fillId="4" borderId="3" xfId="0" applyFont="1" applyFill="1" applyBorder="1" applyAlignment="1">
      <alignment horizontal="left" vertical="center" indent="1"/>
    </xf>
    <xf numFmtId="0" fontId="34" fillId="4" borderId="1" xfId="0" applyFont="1" applyFill="1" applyBorder="1" applyAlignment="1">
      <alignment horizontal="right" vertical="center" indent="1"/>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170" fontId="19" fillId="4" borderId="10" xfId="0" applyNumberFormat="1" applyFont="1" applyFill="1" applyBorder="1" applyAlignment="1">
      <alignment horizontal="center" vertical="center"/>
    </xf>
    <xf numFmtId="0" fontId="45" fillId="15" borderId="54" xfId="0" applyFont="1" applyFill="1" applyBorder="1" applyAlignment="1">
      <alignment horizontal="center" vertical="center"/>
    </xf>
    <xf numFmtId="0" fontId="45" fillId="15" borderId="55" xfId="0" applyFont="1" applyFill="1" applyBorder="1" applyAlignment="1">
      <alignment horizontal="center" vertical="center" wrapText="1"/>
    </xf>
    <xf numFmtId="0" fontId="45" fillId="15" borderId="56" xfId="0" applyFont="1" applyFill="1" applyBorder="1" applyAlignment="1">
      <alignment horizontal="center" vertical="center"/>
    </xf>
    <xf numFmtId="0" fontId="52" fillId="9" borderId="48" xfId="0" applyFont="1" applyFill="1" applyBorder="1" applyAlignment="1">
      <alignment horizontal="left" vertical="center" indent="1"/>
    </xf>
    <xf numFmtId="0" fontId="52" fillId="9" borderId="57" xfId="0" applyFont="1" applyFill="1" applyBorder="1" applyAlignment="1">
      <alignment horizontal="left" vertical="center" wrapText="1" indent="1"/>
    </xf>
    <xf numFmtId="0" fontId="52" fillId="9" borderId="58" xfId="0" applyFont="1" applyFill="1" applyBorder="1" applyAlignment="1">
      <alignment horizontal="left" vertical="center" indent="1"/>
    </xf>
    <xf numFmtId="0" fontId="19" fillId="13" borderId="28" xfId="0" applyNumberFormat="1" applyFont="1" applyFill="1" applyBorder="1" applyAlignment="1" applyProtection="1">
      <alignment vertical="center" wrapText="1"/>
    </xf>
    <xf numFmtId="0" fontId="19" fillId="13" borderId="41" xfId="0" applyNumberFormat="1" applyFont="1" applyFill="1" applyBorder="1" applyAlignment="1" applyProtection="1">
      <alignment vertical="center" wrapText="1"/>
    </xf>
    <xf numFmtId="0" fontId="19" fillId="13" borderId="28" xfId="0" applyNumberFormat="1" applyFont="1" applyFill="1" applyBorder="1" applyAlignment="1" applyProtection="1">
      <alignment vertical="center"/>
    </xf>
    <xf numFmtId="0" fontId="34" fillId="4" borderId="27" xfId="0" applyFont="1" applyFill="1" applyBorder="1" applyAlignment="1">
      <alignment horizontal="center" vertical="center" wrapText="1"/>
    </xf>
    <xf numFmtId="169" fontId="16" fillId="4" borderId="17" xfId="0" applyNumberFormat="1" applyFont="1" applyFill="1" applyBorder="1" applyAlignment="1">
      <alignment horizontal="center" vertical="center" wrapText="1"/>
    </xf>
    <xf numFmtId="0" fontId="30" fillId="4" borderId="59" xfId="0" applyFont="1" applyFill="1" applyBorder="1"/>
    <xf numFmtId="0" fontId="30" fillId="4" borderId="60" xfId="0" applyFont="1" applyFill="1" applyBorder="1"/>
    <xf numFmtId="3" fontId="34" fillId="4" borderId="1" xfId="0" applyNumberFormat="1" applyFont="1" applyFill="1" applyBorder="1" applyAlignment="1">
      <alignment horizontal="right" vertical="center" wrapText="1" indent="1"/>
    </xf>
    <xf numFmtId="3" fontId="34" fillId="4" borderId="61" xfId="0" applyNumberFormat="1" applyFont="1" applyFill="1" applyBorder="1" applyAlignment="1">
      <alignment horizontal="right" vertical="center" wrapText="1" indent="1"/>
    </xf>
    <xf numFmtId="0" fontId="45" fillId="9" borderId="62" xfId="0" applyFont="1" applyFill="1" applyBorder="1" applyAlignment="1">
      <alignment vertical="center" wrapText="1"/>
    </xf>
    <xf numFmtId="0" fontId="45" fillId="9" borderId="63" xfId="0" applyFont="1" applyFill="1" applyBorder="1" applyAlignment="1">
      <alignment vertical="center" wrapText="1"/>
    </xf>
    <xf numFmtId="3" fontId="34" fillId="4" borderId="11" xfId="0" applyNumberFormat="1" applyFont="1" applyFill="1" applyBorder="1" applyAlignment="1">
      <alignment horizontal="right" vertical="center" wrapText="1" indent="1"/>
    </xf>
    <xf numFmtId="169" fontId="16" fillId="4" borderId="12" xfId="0" applyNumberFormat="1" applyFont="1" applyFill="1" applyBorder="1" applyAlignment="1">
      <alignment horizontal="center" vertical="center" wrapText="1"/>
    </xf>
    <xf numFmtId="169"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169" fontId="34" fillId="4" borderId="15" xfId="0" applyNumberFormat="1" applyFont="1" applyFill="1" applyBorder="1" applyAlignment="1">
      <alignment horizontal="center" vertical="center"/>
    </xf>
    <xf numFmtId="0" fontId="46" fillId="5" borderId="2" xfId="0" applyFont="1" applyFill="1" applyBorder="1" applyAlignment="1">
      <alignment horizontal="right" vertical="center"/>
    </xf>
    <xf numFmtId="0" fontId="30" fillId="4" borderId="0" xfId="0" applyFont="1" applyFill="1" applyBorder="1"/>
    <xf numFmtId="0" fontId="45" fillId="9" borderId="48" xfId="0" applyFont="1" applyFill="1" applyBorder="1" applyAlignment="1">
      <alignment horizontal="left" vertical="center" indent="1"/>
    </xf>
    <xf numFmtId="0" fontId="45" fillId="9" borderId="48" xfId="0" applyFont="1" applyFill="1" applyBorder="1" applyAlignment="1">
      <alignment horizontal="left" vertical="center" wrapText="1" indent="1"/>
    </xf>
    <xf numFmtId="0" fontId="45" fillId="9" borderId="65" xfId="0" applyFont="1" applyFill="1" applyBorder="1" applyAlignment="1">
      <alignment horizontal="left" vertical="center" wrapText="1" indent="1"/>
    </xf>
    <xf numFmtId="6" fontId="16" fillId="4" borderId="25" xfId="0" applyNumberFormat="1" applyFont="1" applyFill="1" applyBorder="1" applyAlignment="1">
      <alignment horizontal="left" vertical="center" wrapText="1" indent="1"/>
    </xf>
    <xf numFmtId="6" fontId="16" fillId="4" borderId="11" xfId="0" applyNumberFormat="1" applyFont="1" applyFill="1" applyBorder="1" applyAlignment="1">
      <alignment horizontal="left" vertical="center" wrapText="1"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0" fontId="45" fillId="15" borderId="0" xfId="0" applyFont="1" applyFill="1" applyBorder="1" applyAlignment="1">
      <alignment horizontal="center" vertical="center"/>
    </xf>
    <xf numFmtId="0" fontId="34" fillId="4" borderId="67" xfId="0" applyFont="1" applyFill="1" applyBorder="1" applyAlignment="1">
      <alignment horizontal="center" vertical="center"/>
    </xf>
    <xf numFmtId="0" fontId="34" fillId="4" borderId="23" xfId="0" applyFont="1" applyFill="1" applyBorder="1" applyAlignment="1">
      <alignment horizontal="center" vertical="center"/>
    </xf>
    <xf numFmtId="0" fontId="34" fillId="4" borderId="24" xfId="0" applyFont="1" applyFill="1" applyBorder="1" applyAlignment="1">
      <alignment horizontal="center" vertical="center"/>
    </xf>
    <xf numFmtId="0" fontId="34" fillId="4" borderId="68" xfId="0" applyFont="1" applyFill="1" applyBorder="1" applyAlignment="1">
      <alignment horizontal="center" vertical="center"/>
    </xf>
    <xf numFmtId="0" fontId="34" fillId="4" borderId="70" xfId="0" applyFont="1" applyFill="1" applyBorder="1" applyAlignment="1">
      <alignment horizontal="center" vertical="center"/>
    </xf>
    <xf numFmtId="169"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72" xfId="0" applyFont="1" applyFill="1" applyBorder="1" applyAlignment="1">
      <alignment horizontal="left" vertical="center" wrapText="1" indent="1"/>
    </xf>
    <xf numFmtId="0" fontId="34" fillId="4" borderId="25" xfId="0" applyFont="1" applyFill="1" applyBorder="1" applyAlignment="1">
      <alignment vertical="center"/>
    </xf>
    <xf numFmtId="0" fontId="34" fillId="4" borderId="11" xfId="0" applyFont="1" applyFill="1" applyBorder="1" applyAlignment="1">
      <alignment vertical="center"/>
    </xf>
    <xf numFmtId="165" fontId="19" fillId="4" borderId="15" xfId="0" applyNumberFormat="1" applyFont="1" applyFill="1" applyBorder="1" applyAlignment="1">
      <alignment horizontal="center" vertical="center"/>
    </xf>
    <xf numFmtId="169" fontId="19" fillId="4" borderId="73" xfId="0" applyNumberFormat="1" applyFont="1" applyFill="1" applyBorder="1" applyAlignment="1">
      <alignment horizontal="center" vertical="center"/>
    </xf>
    <xf numFmtId="171" fontId="55" fillId="4" borderId="15" xfId="8" applyNumberFormat="1" applyFont="1" applyFill="1" applyBorder="1" applyAlignment="1">
      <alignment horizontal="center" vertical="center"/>
    </xf>
    <xf numFmtId="171" fontId="55" fillId="4" borderId="16" xfId="8" applyNumberFormat="1" applyFont="1" applyFill="1" applyBorder="1" applyAlignment="1">
      <alignment horizontal="center" vertical="center"/>
    </xf>
    <xf numFmtId="169" fontId="47" fillId="4" borderId="0" xfId="0" applyNumberFormat="1" applyFont="1" applyFill="1" applyBorder="1" applyAlignment="1">
      <alignment horizontal="center" vertical="center"/>
    </xf>
    <xf numFmtId="0" fontId="47" fillId="4" borderId="30" xfId="0" applyFont="1" applyFill="1" applyBorder="1" applyAlignment="1">
      <alignment horizontal="center" vertical="center"/>
    </xf>
    <xf numFmtId="169" fontId="47" fillId="4" borderId="30" xfId="0" applyNumberFormat="1" applyFont="1" applyFill="1" applyBorder="1" applyAlignment="1">
      <alignment horizontal="center" vertical="center"/>
    </xf>
    <xf numFmtId="169" fontId="52" fillId="17" borderId="74"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60" fillId="5" borderId="0" xfId="0" applyFont="1" applyFill="1"/>
    <xf numFmtId="0" fontId="0" fillId="4" borderId="1" xfId="0" applyFill="1" applyBorder="1"/>
    <xf numFmtId="0" fontId="52" fillId="9" borderId="57" xfId="0" applyFont="1" applyFill="1" applyBorder="1" applyAlignment="1">
      <alignment horizontal="left" vertical="center" indent="1"/>
    </xf>
    <xf numFmtId="0" fontId="59" fillId="4" borderId="87" xfId="0" applyFont="1" applyFill="1" applyBorder="1" applyAlignment="1">
      <alignment horizontal="left" vertical="center" indent="1"/>
    </xf>
    <xf numFmtId="0" fontId="64" fillId="4" borderId="9" xfId="0" applyFont="1" applyFill="1" applyBorder="1" applyAlignment="1">
      <alignment horizontal="left" vertical="center" indent="1"/>
    </xf>
    <xf numFmtId="0" fontId="64" fillId="4" borderId="10" xfId="0" applyFont="1" applyFill="1" applyBorder="1" applyAlignment="1">
      <alignment horizontal="left" vertical="center" indent="1"/>
    </xf>
    <xf numFmtId="0" fontId="64" fillId="4" borderId="8" xfId="0" applyFont="1" applyFill="1" applyBorder="1" applyAlignment="1">
      <alignment horizontal="left" vertical="center" indent="1"/>
    </xf>
    <xf numFmtId="0" fontId="46" fillId="5" borderId="0" xfId="0" applyFont="1" applyFill="1" applyBorder="1" applyAlignment="1">
      <alignment horizontal="right" vertical="center"/>
    </xf>
    <xf numFmtId="169" fontId="34" fillId="13" borderId="29" xfId="0" applyNumberFormat="1" applyFont="1" applyFill="1" applyBorder="1" applyAlignment="1">
      <alignment horizontal="center" vertical="center"/>
    </xf>
    <xf numFmtId="0" fontId="34" fillId="13" borderId="2" xfId="0" applyFont="1" applyFill="1" applyBorder="1" applyAlignment="1">
      <alignment horizontal="center" vertical="center"/>
    </xf>
    <xf numFmtId="0" fontId="34" fillId="13" borderId="29" xfId="0" applyFont="1" applyFill="1" applyBorder="1" applyAlignment="1">
      <alignment horizontal="center" vertical="center"/>
    </xf>
    <xf numFmtId="0" fontId="34" fillId="13" borderId="69" xfId="0" applyFont="1" applyFill="1" applyBorder="1" applyAlignment="1">
      <alignment horizontal="center" vertical="center"/>
    </xf>
    <xf numFmtId="0" fontId="34" fillId="13" borderId="71" xfId="0" applyFont="1" applyFill="1" applyBorder="1" applyAlignment="1">
      <alignment horizontal="center" vertical="center"/>
    </xf>
    <xf numFmtId="0" fontId="34" fillId="4" borderId="0" xfId="0" applyFont="1" applyFill="1"/>
    <xf numFmtId="0" fontId="46" fillId="5" borderId="0" xfId="0" applyFont="1" applyFill="1" applyAlignment="1">
      <alignment horizontal="right" vertical="center"/>
    </xf>
    <xf numFmtId="0" fontId="64" fillId="4" borderId="0" xfId="0" applyFont="1" applyFill="1" applyBorder="1" applyAlignment="1">
      <alignment horizontal="left" vertical="center" indent="1"/>
    </xf>
    <xf numFmtId="0" fontId="47" fillId="4" borderId="0" xfId="0" applyFont="1" applyFill="1" applyBorder="1" applyAlignment="1">
      <alignment vertical="center"/>
    </xf>
    <xf numFmtId="0" fontId="64" fillId="4" borderId="0" xfId="0" applyFont="1" applyFill="1" applyBorder="1" applyAlignment="1">
      <alignment horizontal="left" vertical="center"/>
    </xf>
    <xf numFmtId="0" fontId="64"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7" borderId="29" xfId="0" applyFont="1" applyFill="1" applyBorder="1" applyAlignment="1">
      <alignment horizontal="center" vertical="center"/>
    </xf>
    <xf numFmtId="0" fontId="47" fillId="4" borderId="0" xfId="0" applyFont="1" applyFill="1" applyBorder="1" applyAlignment="1">
      <alignment horizontal="left" vertical="center" indent="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45" fillId="9" borderId="0" xfId="0" applyFont="1" applyFill="1" applyBorder="1" applyAlignment="1">
      <alignment horizontal="center" vertical="center" wrapText="1" readingOrder="1"/>
    </xf>
    <xf numFmtId="0" fontId="45" fillId="9" borderId="0" xfId="0" applyFont="1" applyFill="1" applyBorder="1" applyAlignment="1">
      <alignment horizontal="center" vertical="center"/>
    </xf>
    <xf numFmtId="0" fontId="45" fillId="9" borderId="39" xfId="0" applyFont="1" applyFill="1" applyBorder="1" applyAlignment="1">
      <alignment horizontal="center" vertical="center"/>
    </xf>
    <xf numFmtId="0" fontId="34" fillId="4" borderId="19" xfId="0" applyFont="1" applyFill="1" applyBorder="1" applyAlignment="1">
      <alignment horizontal="left" vertical="center" wrapText="1" indent="1"/>
    </xf>
    <xf numFmtId="0" fontId="19" fillId="4" borderId="17" xfId="0" applyFont="1" applyFill="1" applyBorder="1" applyAlignment="1">
      <alignment horizontal="left" vertical="center" indent="1"/>
    </xf>
    <xf numFmtId="0" fontId="45" fillId="9" borderId="38" xfId="0"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4" fillId="4" borderId="26" xfId="0" applyFont="1" applyFill="1" applyBorder="1" applyAlignment="1">
      <alignment horizontal="left" vertical="center" indent="1"/>
    </xf>
    <xf numFmtId="0" fontId="34" fillId="4" borderId="27"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52" fillId="9" borderId="38" xfId="0" applyFont="1" applyFill="1" applyBorder="1" applyAlignment="1">
      <alignment horizontal="center" vertical="center"/>
    </xf>
    <xf numFmtId="0" fontId="64" fillId="4" borderId="7" xfId="0" applyFont="1" applyFill="1" applyBorder="1" applyAlignment="1">
      <alignment horizontal="left" vertical="center"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52" fillId="9" borderId="0" xfId="0" applyFont="1" applyFill="1" applyAlignment="1">
      <alignment horizontal="center" vertical="center"/>
    </xf>
    <xf numFmtId="0" fontId="47" fillId="4" borderId="1" xfId="0"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0" fontId="34" fillId="4" borderId="10" xfId="0" applyFont="1" applyFill="1" applyBorder="1" applyAlignment="1">
      <alignment horizontal="center" vertical="center"/>
    </xf>
    <xf numFmtId="165" fontId="41" fillId="4" borderId="0"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8" xfId="0" applyFont="1" applyFill="1" applyBorder="1" applyAlignment="1">
      <alignment horizontal="center" vertical="center" wrapText="1"/>
    </xf>
    <xf numFmtId="0" fontId="34" fillId="4" borderId="0" xfId="0" applyFont="1" applyFill="1" applyBorder="1" applyAlignment="1">
      <alignment horizontal="left" vertical="center" wrapText="1" indent="1"/>
    </xf>
    <xf numFmtId="0" fontId="45" fillId="9" borderId="45" xfId="0" applyFont="1" applyFill="1" applyBorder="1" applyAlignment="1">
      <alignment horizontal="center" vertical="center"/>
    </xf>
    <xf numFmtId="0" fontId="34" fillId="4" borderId="29"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4" fillId="4" borderId="2" xfId="7"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54" xfId="0" applyFont="1" applyFill="1" applyBorder="1" applyAlignment="1">
      <alignment horizontal="center" vertical="center"/>
    </xf>
    <xf numFmtId="0" fontId="19" fillId="4" borderId="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45" fillId="15" borderId="38" xfId="0" applyFont="1" applyFill="1" applyBorder="1" applyAlignment="1">
      <alignment horizontal="center" vertical="center"/>
    </xf>
    <xf numFmtId="165" fontId="19" fillId="4" borderId="10"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6" fillId="9" borderId="39"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64" fillId="4" borderId="5" xfId="0" applyFont="1" applyFill="1" applyBorder="1" applyAlignment="1">
      <alignment horizontal="left" vertical="center" indent="1"/>
    </xf>
    <xf numFmtId="169" fontId="47" fillId="4" borderId="108" xfId="0" applyNumberFormat="1" applyFont="1" applyFill="1" applyBorder="1" applyAlignment="1">
      <alignment horizontal="center" vertical="center"/>
    </xf>
    <xf numFmtId="169" fontId="47" fillId="4" borderId="109" xfId="0" applyNumberFormat="1" applyFont="1" applyFill="1" applyBorder="1" applyAlignment="1">
      <alignment horizontal="center" vertical="center"/>
    </xf>
    <xf numFmtId="0" fontId="47" fillId="4" borderId="0" xfId="0" applyFont="1" applyFill="1" applyAlignment="1">
      <alignment vertical="center"/>
    </xf>
    <xf numFmtId="0" fontId="65" fillId="4" borderId="0" xfId="0" applyFont="1" applyFill="1" applyBorder="1" applyAlignment="1">
      <alignment horizontal="left" vertical="center" wrapText="1" indent="1"/>
    </xf>
    <xf numFmtId="9" fontId="47" fillId="4" borderId="0" xfId="0" applyNumberFormat="1" applyFont="1" applyFill="1" applyBorder="1" applyAlignment="1">
      <alignment vertical="center"/>
    </xf>
    <xf numFmtId="0" fontId="43" fillId="7" borderId="0" xfId="0" applyNumberFormat="1" applyFont="1" applyFill="1" applyBorder="1" applyAlignment="1">
      <alignment horizontal="center" vertical="center" wrapTex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0" fontId="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1" xfId="0" applyFont="1" applyFill="1" applyBorder="1" applyAlignment="1">
      <alignment horizontal="center" vertical="center"/>
    </xf>
    <xf numFmtId="0" fontId="7" fillId="4" borderId="0" xfId="0" applyFont="1" applyFill="1" applyBorder="1" applyAlignment="1">
      <alignment horizontal="center" vertical="center"/>
    </xf>
    <xf numFmtId="169" fontId="19" fillId="4" borderId="7" xfId="0" applyNumberFormat="1" applyFont="1" applyFill="1" applyBorder="1" applyAlignment="1">
      <alignment horizontal="center" vertical="center"/>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9" fontId="19" fillId="4" borderId="112" xfId="0" applyNumberFormat="1" applyFont="1" applyFill="1" applyBorder="1" applyAlignment="1">
      <alignment horizontal="center" vertical="center"/>
    </xf>
    <xf numFmtId="165" fontId="34" fillId="13" borderId="40" xfId="0" applyNumberFormat="1" applyFont="1" applyFill="1" applyBorder="1" applyAlignment="1">
      <alignment horizontal="center" vertical="center"/>
    </xf>
    <xf numFmtId="0" fontId="34" fillId="0" borderId="58" xfId="0" applyFont="1" applyFill="1" applyBorder="1" applyAlignment="1">
      <alignment horizontal="center" vertical="center" textRotation="90"/>
    </xf>
    <xf numFmtId="0" fontId="47" fillId="13" borderId="0" xfId="0" applyFont="1" applyFill="1" applyAlignment="1">
      <alignment horizontal="left" indent="1"/>
    </xf>
    <xf numFmtId="0" fontId="0" fillId="0" borderId="58" xfId="0" applyBorder="1"/>
    <xf numFmtId="0" fontId="30" fillId="4" borderId="58" xfId="0" applyFont="1" applyFill="1" applyBorder="1"/>
    <xf numFmtId="0" fontId="0" fillId="0" borderId="113" xfId="0" applyBorder="1"/>
    <xf numFmtId="169" fontId="47" fillId="4" borderId="13"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66" fillId="0" borderId="0" xfId="0" applyFont="1"/>
    <xf numFmtId="0" fontId="19" fillId="4" borderId="6" xfId="0" applyFont="1" applyFill="1" applyBorder="1" applyAlignment="1">
      <alignment horizontal="left" vertical="center" indent="1"/>
    </xf>
    <xf numFmtId="0" fontId="45" fillId="9" borderId="89" xfId="0" applyFont="1" applyFill="1" applyBorder="1" applyAlignment="1">
      <alignment horizontal="center" vertical="center"/>
    </xf>
    <xf numFmtId="0" fontId="45" fillId="9" borderId="58" xfId="0" applyFont="1" applyFill="1" applyBorder="1" applyAlignment="1">
      <alignment horizontal="left" vertical="center" indent="1"/>
    </xf>
    <xf numFmtId="0" fontId="45" fillId="9" borderId="0" xfId="0" applyFont="1" applyFill="1" applyBorder="1" applyAlignment="1">
      <alignment horizontal="left" vertical="center" indent="1"/>
    </xf>
    <xf numFmtId="0" fontId="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34" fillId="4" borderId="0" xfId="0" applyFont="1" applyFill="1" applyAlignment="1"/>
    <xf numFmtId="9" fontId="52" fillId="9" borderId="0" xfId="0" applyNumberFormat="1" applyFont="1" applyFill="1" applyBorder="1" applyAlignment="1">
      <alignment vertical="center"/>
    </xf>
    <xf numFmtId="9" fontId="47" fillId="4" borderId="8" xfId="0" applyNumberFormat="1" applyFont="1" applyFill="1" applyBorder="1" applyAlignment="1">
      <alignment horizontal="left" vertical="center" indent="1"/>
    </xf>
    <xf numFmtId="9" fontId="47" fillId="4" borderId="9" xfId="0" applyNumberFormat="1" applyFont="1" applyFill="1" applyBorder="1" applyAlignment="1">
      <alignment horizontal="left" vertical="center" indent="1"/>
    </xf>
    <xf numFmtId="9" fontId="47" fillId="4" borderId="10" xfId="0" applyNumberFormat="1" applyFont="1" applyFill="1" applyBorder="1" applyAlignment="1">
      <alignment horizontal="left" vertical="center" indent="1"/>
    </xf>
    <xf numFmtId="0" fontId="34" fillId="4" borderId="2" xfId="0" applyFont="1" applyFill="1" applyBorder="1" applyAlignment="1">
      <alignment horizontal="left" vertical="center" wrapText="1" indent="1"/>
    </xf>
    <xf numFmtId="0" fontId="45" fillId="9" borderId="0"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0" fontId="52" fillId="9" borderId="0" xfId="0" applyFont="1" applyFill="1" applyBorder="1" applyAlignment="1">
      <alignment horizontal="center" vertical="center" wrapText="1"/>
    </xf>
    <xf numFmtId="0" fontId="45" fillId="9" borderId="88" xfId="0" applyFont="1" applyFill="1" applyBorder="1" applyAlignment="1">
      <alignment horizontal="center" vertical="center"/>
    </xf>
    <xf numFmtId="169" fontId="19" fillId="4" borderId="111" xfId="0" applyNumberFormat="1" applyFont="1" applyFill="1" applyBorder="1" applyAlignment="1">
      <alignment horizontal="center" vertical="center"/>
    </xf>
    <xf numFmtId="169" fontId="19" fillId="4" borderId="6" xfId="0" applyNumberFormat="1" applyFont="1" applyFill="1" applyBorder="1" applyAlignment="1">
      <alignment horizontal="center" vertical="center"/>
    </xf>
    <xf numFmtId="169" fontId="19" fillId="4" borderId="21"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33" xfId="0" applyNumberFormat="1" applyFont="1" applyFill="1" applyBorder="1" applyAlignment="1">
      <alignment horizontal="center" vertical="center"/>
    </xf>
    <xf numFmtId="169" fontId="19" fillId="4" borderId="31"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34" fillId="4" borderId="60" xfId="0" applyFont="1" applyFill="1" applyBorder="1" applyAlignment="1">
      <alignment horizontal="left" vertical="center" wrapText="1" indent="1"/>
    </xf>
    <xf numFmtId="0" fontId="7" fillId="4" borderId="0" xfId="0" applyFont="1" applyFill="1" applyBorder="1" applyAlignment="1">
      <alignment horizontal="center" vertical="center"/>
    </xf>
    <xf numFmtId="0" fontId="67" fillId="4" borderId="0" xfId="0" applyFont="1" applyFill="1" applyBorder="1" applyAlignment="1">
      <alignment vertical="center"/>
    </xf>
    <xf numFmtId="0" fontId="68" fillId="4" borderId="0" xfId="0" applyFont="1" applyFill="1" applyBorder="1" applyAlignment="1">
      <alignment horizontal="left" vertical="center"/>
    </xf>
    <xf numFmtId="0" fontId="30" fillId="4" borderId="115" xfId="0" applyFont="1" applyFill="1" applyBorder="1"/>
    <xf numFmtId="0" fontId="19" fillId="4" borderId="9"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52" fillId="9" borderId="0" xfId="0" applyFont="1" applyFill="1" applyAlignment="1">
      <alignment horizontal="center" vertical="center"/>
    </xf>
    <xf numFmtId="169" fontId="47" fillId="4" borderId="1" xfId="0" applyNumberFormat="1" applyFont="1" applyFill="1" applyBorder="1" applyAlignment="1">
      <alignment horizontal="right" vertical="center" indent="1"/>
    </xf>
    <xf numFmtId="0" fontId="47" fillId="4" borderId="1" xfId="0"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52" fillId="4" borderId="0" xfId="0" applyFont="1" applyFill="1" applyBorder="1" applyAlignment="1">
      <alignment vertical="center"/>
    </xf>
    <xf numFmtId="0" fontId="52" fillId="4" borderId="58" xfId="0" applyFont="1" applyFill="1" applyBorder="1" applyAlignment="1">
      <alignment vertical="center"/>
    </xf>
    <xf numFmtId="0" fontId="45" fillId="9" borderId="0" xfId="0" applyFont="1" applyFill="1" applyBorder="1" applyAlignment="1">
      <alignment horizontal="center" vertical="center"/>
    </xf>
    <xf numFmtId="0" fontId="64" fillId="4" borderId="18" xfId="0" applyFont="1" applyFill="1" applyBorder="1" applyAlignment="1">
      <alignment horizontal="left" vertical="center" indent="1"/>
    </xf>
    <xf numFmtId="0" fontId="64" fillId="4" borderId="11" xfId="0" applyFont="1" applyFill="1" applyBorder="1" applyAlignment="1">
      <alignment horizontal="left" vertical="center" indent="1"/>
    </xf>
    <xf numFmtId="169" fontId="47" fillId="4" borderId="0" xfId="0" applyNumberFormat="1" applyFont="1" applyFill="1" applyBorder="1" applyAlignment="1">
      <alignment horizontal="right" vertical="center" indent="1"/>
    </xf>
    <xf numFmtId="0" fontId="64" fillId="4" borderId="17" xfId="0" applyFont="1" applyFill="1" applyBorder="1" applyAlignment="1">
      <alignment horizontal="left" vertical="center" indent="1"/>
    </xf>
    <xf numFmtId="0" fontId="64" fillId="4" borderId="12" xfId="0" applyFont="1" applyFill="1" applyBorder="1" applyAlignment="1">
      <alignment horizontal="left" vertical="center" indent="1"/>
    </xf>
    <xf numFmtId="0" fontId="64" fillId="4" borderId="0" xfId="0" applyFont="1" applyFill="1" applyBorder="1" applyAlignment="1">
      <alignment vertical="center"/>
    </xf>
    <xf numFmtId="169" fontId="47" fillId="4" borderId="11" xfId="0" applyNumberFormat="1" applyFont="1" applyFill="1" applyBorder="1" applyAlignment="1">
      <alignment horizontal="right" vertical="center" indent="1"/>
    </xf>
    <xf numFmtId="0" fontId="52" fillId="4" borderId="0" xfId="0"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45" fillId="9" borderId="38" xfId="0" applyFont="1" applyFill="1" applyBorder="1" applyAlignment="1">
      <alignment horizontal="center" vertical="center" wrapText="1" readingOrder="1"/>
    </xf>
    <xf numFmtId="169" fontId="19" fillId="4" borderId="14" xfId="0" applyNumberFormat="1" applyFont="1" applyFill="1" applyBorder="1" applyAlignment="1">
      <alignment horizontal="center" vertical="center"/>
    </xf>
    <xf numFmtId="169" fontId="47" fillId="4" borderId="10" xfId="0" applyNumberFormat="1" applyFont="1" applyFill="1" applyBorder="1" applyAlignment="1">
      <alignment horizontal="right" vertical="center" indent="1"/>
    </xf>
    <xf numFmtId="169" fontId="47" fillId="4" borderId="8" xfId="0" applyNumberFormat="1" applyFont="1" applyFill="1" applyBorder="1" applyAlignment="1">
      <alignment horizontal="right" vertical="center" indent="1"/>
    </xf>
    <xf numFmtId="169" fontId="47" fillId="4" borderId="12" xfId="0" applyNumberFormat="1" applyFont="1" applyFill="1" applyBorder="1" applyAlignment="1">
      <alignment horizontal="right" vertical="center" indent="1"/>
    </xf>
    <xf numFmtId="169" fontId="47" fillId="4" borderId="16" xfId="0" applyNumberFormat="1" applyFont="1" applyFill="1" applyBorder="1" applyAlignment="1">
      <alignment horizontal="right" vertical="center" indent="1"/>
    </xf>
    <xf numFmtId="169" fontId="47" fillId="4" borderId="0" xfId="0" applyNumberFormat="1" applyFont="1" applyFill="1" applyBorder="1" applyAlignment="1">
      <alignment horizontal="right" vertical="center" indent="2"/>
    </xf>
    <xf numFmtId="169" fontId="47" fillId="4" borderId="28" xfId="0" applyNumberFormat="1" applyFont="1" applyFill="1" applyBorder="1" applyAlignment="1">
      <alignment horizontal="right" vertical="center" indent="1"/>
    </xf>
    <xf numFmtId="169" fontId="52" fillId="9" borderId="0" xfId="0" applyNumberFormat="1" applyFont="1" applyFill="1" applyBorder="1" applyAlignment="1">
      <alignment horizontal="right" vertical="center" indent="2"/>
    </xf>
    <xf numFmtId="169" fontId="52" fillId="9" borderId="38" xfId="0" applyNumberFormat="1" applyFont="1" applyFill="1" applyBorder="1" applyAlignment="1">
      <alignment horizontal="center" vertical="center" wrapText="1"/>
    </xf>
    <xf numFmtId="172" fontId="19" fillId="4" borderId="8" xfId="35"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13" borderId="35" xfId="0" applyFont="1" applyFill="1" applyBorder="1" applyAlignment="1">
      <alignment horizontal="left" vertical="center" wrapText="1" indent="1"/>
    </xf>
    <xf numFmtId="0" fontId="34" fillId="13" borderId="30" xfId="0" applyFont="1" applyFill="1" applyBorder="1" applyAlignment="1">
      <alignment horizontal="left" vertical="center" wrapText="1" indent="1"/>
    </xf>
    <xf numFmtId="0" fontId="34" fillId="13" borderId="2" xfId="0" applyFont="1" applyFill="1" applyBorder="1" applyAlignment="1">
      <alignment horizontal="left" vertical="center" wrapText="1" indent="1"/>
    </xf>
    <xf numFmtId="0" fontId="34" fillId="13" borderId="11" xfId="0" applyFont="1" applyFill="1" applyBorder="1" applyAlignment="1">
      <alignment horizontal="left" vertical="center" wrapText="1" indent="1"/>
    </xf>
    <xf numFmtId="0" fontId="34" fillId="13" borderId="21" xfId="0" applyFont="1" applyFill="1" applyBorder="1" applyAlignment="1">
      <alignment horizontal="left" vertical="center" wrapText="1" indent="1"/>
    </xf>
    <xf numFmtId="0" fontId="34" fillId="13" borderId="7" xfId="0" applyFont="1" applyFill="1" applyBorder="1" applyAlignment="1">
      <alignment horizontal="left" vertical="center" wrapText="1" indent="1"/>
    </xf>
    <xf numFmtId="0" fontId="34" fillId="13" borderId="2" xfId="7" applyFont="1" applyFill="1" applyBorder="1" applyAlignment="1">
      <alignment horizontal="left" vertical="center" wrapText="1" indent="1"/>
    </xf>
    <xf numFmtId="0" fontId="34" fillId="13" borderId="11" xfId="7" applyFont="1" applyFill="1" applyBorder="1" applyAlignment="1">
      <alignment horizontal="left" vertical="center" wrapText="1" indent="1"/>
    </xf>
    <xf numFmtId="0" fontId="34" fillId="13" borderId="35" xfId="7" applyFont="1" applyFill="1" applyBorder="1" applyAlignment="1">
      <alignment horizontal="left" vertical="center" wrapText="1" indent="1"/>
    </xf>
    <xf numFmtId="0" fontId="34" fillId="13" borderId="30" xfId="7" applyFont="1" applyFill="1" applyBorder="1" applyAlignment="1">
      <alignment horizontal="left" vertical="center" wrapText="1" indent="1"/>
    </xf>
    <xf numFmtId="0" fontId="34" fillId="13" borderId="21" xfId="7" applyFont="1" applyFill="1" applyBorder="1" applyAlignment="1">
      <alignment horizontal="left" vertical="center" wrapText="1" indent="1"/>
    </xf>
    <xf numFmtId="0" fontId="34" fillId="13" borderId="7" xfId="7" applyFont="1" applyFill="1" applyBorder="1" applyAlignment="1">
      <alignment horizontal="left" vertical="center" wrapText="1" indent="1"/>
    </xf>
    <xf numFmtId="0" fontId="34" fillId="4" borderId="0" xfId="0" applyFont="1" applyFill="1" applyAlignment="1">
      <alignment horizontal="left" wrapText="1"/>
    </xf>
    <xf numFmtId="0" fontId="34" fillId="4" borderId="0" xfId="0" applyFont="1" applyFill="1" applyAlignment="1"/>
    <xf numFmtId="171" fontId="47" fillId="4" borderId="10" xfId="0" applyNumberFormat="1" applyFont="1" applyFill="1" applyBorder="1" applyAlignment="1">
      <alignment horizontal="righ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169" fontId="47" fillId="4" borderId="10"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66" xfId="0" applyFont="1" applyFill="1" applyBorder="1" applyAlignment="1">
      <alignment horizontal="center" vertical="center" wrapText="1"/>
    </xf>
    <xf numFmtId="0" fontId="45" fillId="15" borderId="38" xfId="0" applyFont="1" applyFill="1" applyBorder="1" applyAlignment="1">
      <alignment horizontal="center" vertical="center"/>
    </xf>
    <xf numFmtId="0" fontId="47" fillId="4" borderId="10" xfId="0" applyFont="1" applyFill="1" applyBorder="1" applyAlignment="1">
      <alignment horizontal="center" vertical="center"/>
    </xf>
    <xf numFmtId="169" fontId="19" fillId="4" borderId="20" xfId="0" applyNumberFormat="1" applyFont="1" applyFill="1" applyBorder="1" applyAlignment="1">
      <alignment horizontal="center" vertical="center"/>
    </xf>
    <xf numFmtId="0" fontId="47" fillId="4" borderId="17"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2" xfId="0" applyFont="1" applyFill="1" applyBorder="1" applyAlignment="1">
      <alignment horizontal="left" vertical="center" indent="1"/>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0" fontId="45" fillId="4" borderId="0" xfId="0" applyFont="1" applyFill="1" applyBorder="1" applyAlignment="1">
      <alignment horizontal="center" vertical="center" wrapText="1"/>
    </xf>
    <xf numFmtId="0" fontId="34" fillId="4" borderId="116" xfId="0" applyFont="1" applyFill="1" applyBorder="1" applyAlignment="1">
      <alignment horizontal="center" vertical="center"/>
    </xf>
    <xf numFmtId="0" fontId="34" fillId="4" borderId="3" xfId="0" applyFont="1" applyFill="1" applyBorder="1" applyAlignment="1">
      <alignment horizontal="left" vertical="center" wrapText="1" indent="1"/>
    </xf>
    <xf numFmtId="169" fontId="34" fillId="4" borderId="12"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171" fontId="47" fillId="4" borderId="8" xfId="0" applyNumberFormat="1" applyFont="1" applyFill="1" applyBorder="1" applyAlignment="1">
      <alignment horizontal="right" vertical="center" indent="1"/>
    </xf>
    <xf numFmtId="169" fontId="47" fillId="4" borderId="0" xfId="0" applyNumberFormat="1" applyFont="1" applyFill="1" applyBorder="1" applyAlignment="1">
      <alignment horizontal="right" vertical="center" indent="1"/>
    </xf>
    <xf numFmtId="169" fontId="34" fillId="4"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169" fontId="47" fillId="4" borderId="3" xfId="0" applyNumberFormat="1" applyFont="1" applyFill="1" applyBorder="1" applyAlignment="1">
      <alignment horizontal="right" vertical="center" indent="1"/>
    </xf>
    <xf numFmtId="0" fontId="34" fillId="4" borderId="11" xfId="0" applyFont="1" applyFill="1" applyBorder="1" applyAlignment="1">
      <alignment horizontal="left" vertical="center" wrapText="1" indent="1"/>
    </xf>
    <xf numFmtId="0" fontId="52" fillId="9" borderId="58" xfId="0" applyFont="1" applyFill="1" applyBorder="1" applyAlignment="1">
      <alignment horizontal="left" vertical="center" wrapText="1" indent="1"/>
    </xf>
    <xf numFmtId="0" fontId="52" fillId="9" borderId="0" xfId="0" applyFont="1" applyFill="1" applyAlignment="1">
      <alignment horizontal="center" vertical="center"/>
    </xf>
    <xf numFmtId="0" fontId="52" fillId="4" borderId="99" xfId="0" applyFont="1" applyFill="1" applyBorder="1" applyAlignment="1">
      <alignment vertical="center"/>
    </xf>
    <xf numFmtId="0" fontId="64" fillId="4" borderId="18" xfId="0" applyFont="1" applyFill="1" applyBorder="1" applyAlignment="1">
      <alignment horizontal="left" vertical="center" indent="1"/>
    </xf>
    <xf numFmtId="169" fontId="47" fillId="4" borderId="0" xfId="0" applyNumberFormat="1" applyFont="1" applyFill="1" applyBorder="1" applyAlignment="1">
      <alignment horizontal="right" vertical="center" indent="1"/>
    </xf>
    <xf numFmtId="0" fontId="2" fillId="4" borderId="0" xfId="0" applyNumberFormat="1" applyFont="1" applyFill="1" applyBorder="1" applyAlignment="1">
      <alignment horizontal="left" vertical="center" wrapText="1"/>
    </xf>
    <xf numFmtId="0" fontId="52" fillId="9" borderId="0" xfId="0" applyFont="1" applyFill="1" applyAlignment="1">
      <alignment vertical="center"/>
    </xf>
    <xf numFmtId="0" fontId="45" fillId="9" borderId="57" xfId="0" applyFont="1" applyFill="1" applyBorder="1" applyAlignment="1">
      <alignment horizontal="left" vertical="center" wrapText="1" indent="1"/>
    </xf>
    <xf numFmtId="0" fontId="30" fillId="4" borderId="117" xfId="0" applyFont="1" applyFill="1" applyBorder="1"/>
    <xf numFmtId="0" fontId="34" fillId="4" borderId="16"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left" vertical="center" indent="1"/>
    </xf>
    <xf numFmtId="0" fontId="34" fillId="4" borderId="12" xfId="0" applyFont="1" applyFill="1" applyBorder="1" applyAlignment="1">
      <alignment horizontal="right" vertical="center" inden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47" fillId="4" borderId="0" xfId="0" applyFont="1" applyFill="1" applyBorder="1" applyAlignment="1">
      <alignment horizontal="left" vertical="center" indent="1"/>
    </xf>
    <xf numFmtId="169" fontId="47" fillId="4" borderId="0" xfId="0" applyNumberFormat="1" applyFont="1" applyFill="1" applyBorder="1" applyAlignment="1">
      <alignment horizontal="right" vertical="center" indent="1"/>
    </xf>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4" fillId="4" borderId="118" xfId="0" applyFont="1" applyFill="1" applyBorder="1" applyAlignment="1">
      <alignment horizontal="left" vertical="center" indent="1"/>
    </xf>
    <xf numFmtId="0" fontId="34" fillId="4" borderId="45" xfId="0" applyFont="1" applyFill="1" applyBorder="1" applyAlignment="1">
      <alignment horizontal="left" vertical="center" indent="1"/>
    </xf>
    <xf numFmtId="0" fontId="34" fillId="4" borderId="119" xfId="0" applyFont="1" applyFill="1" applyBorder="1" applyAlignment="1">
      <alignment horizontal="left" vertical="center" indent="1"/>
    </xf>
    <xf numFmtId="0" fontId="34" fillId="4" borderId="17" xfId="0" applyFont="1" applyFill="1" applyBorder="1" applyAlignment="1">
      <alignment horizontal="left" vertical="center" indent="1"/>
    </xf>
    <xf numFmtId="0" fontId="34" fillId="4" borderId="31" xfId="0" applyFont="1" applyFill="1" applyBorder="1" applyAlignment="1">
      <alignment horizontal="left" vertical="center" indent="1"/>
    </xf>
    <xf numFmtId="0" fontId="34" fillId="4" borderId="12" xfId="0" applyFont="1" applyFill="1" applyBorder="1" applyAlignment="1">
      <alignment horizontal="left" vertical="center" indent="1"/>
    </xf>
    <xf numFmtId="0" fontId="34" fillId="4" borderId="6"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0" fontId="34" fillId="4" borderId="7" xfId="0" applyFont="1" applyFill="1" applyBorder="1" applyAlignment="1">
      <alignment horizontal="left" vertical="center" wrapText="1" indent="1"/>
    </xf>
    <xf numFmtId="0" fontId="34" fillId="4" borderId="43" xfId="0" applyFont="1" applyFill="1" applyBorder="1" applyAlignment="1">
      <alignment horizontal="left" vertical="center" wrapText="1" indent="1"/>
    </xf>
    <xf numFmtId="0" fontId="34" fillId="4" borderId="77" xfId="0" applyFont="1" applyFill="1" applyBorder="1" applyAlignment="1">
      <alignment horizontal="left" vertical="center" wrapText="1" indent="1"/>
    </xf>
    <xf numFmtId="0" fontId="34" fillId="4" borderId="44" xfId="0" applyFont="1" applyFill="1" applyBorder="1" applyAlignment="1">
      <alignment horizontal="left" vertical="center" wrapText="1" indent="1"/>
    </xf>
    <xf numFmtId="0" fontId="34" fillId="18" borderId="1" xfId="0" applyFont="1" applyFill="1" applyBorder="1" applyAlignment="1">
      <alignment horizontal="center" vertical="center" textRotation="90"/>
    </xf>
    <xf numFmtId="0" fontId="34" fillId="18" borderId="76" xfId="0" applyFont="1" applyFill="1" applyBorder="1" applyAlignment="1">
      <alignment horizontal="center" vertical="center" textRotation="90"/>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34" fillId="4" borderId="31"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34" fillId="19" borderId="81" xfId="0" applyFont="1" applyFill="1" applyBorder="1" applyAlignment="1">
      <alignment horizontal="center" vertical="center" textRotation="90" wrapText="1"/>
    </xf>
    <xf numFmtId="0" fontId="34" fillId="19" borderId="1" xfId="0" applyFont="1" applyFill="1" applyBorder="1" applyAlignment="1">
      <alignment horizontal="center" vertical="center" textRotation="90" wrapText="1"/>
    </xf>
    <xf numFmtId="0" fontId="34" fillId="19" borderId="76" xfId="0" applyFont="1" applyFill="1" applyBorder="1" applyAlignment="1">
      <alignment horizontal="center" vertical="center" textRotation="90" wrapText="1"/>
    </xf>
    <xf numFmtId="0" fontId="45" fillId="22" borderId="0" xfId="0" applyFont="1" applyFill="1" applyBorder="1" applyAlignment="1">
      <alignment horizontal="center" vertical="center"/>
    </xf>
    <xf numFmtId="0" fontId="45" fillId="22" borderId="85" xfId="0" applyFont="1" applyFill="1" applyBorder="1" applyAlignment="1">
      <alignment horizontal="center" vertical="center"/>
    </xf>
    <xf numFmtId="0" fontId="19" fillId="4" borderId="17" xfId="0" applyFont="1" applyFill="1" applyBorder="1" applyAlignment="1">
      <alignment horizontal="left" vertical="center" wrapText="1" indent="1"/>
    </xf>
    <xf numFmtId="0" fontId="19" fillId="4" borderId="31"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34" fillId="4" borderId="26" xfId="0" applyFont="1" applyFill="1" applyBorder="1" applyAlignment="1">
      <alignment horizontal="left" vertical="center" indent="1"/>
    </xf>
    <xf numFmtId="0" fontId="34" fillId="4" borderId="34" xfId="0" applyFont="1" applyFill="1" applyBorder="1" applyAlignment="1">
      <alignment horizontal="left" vertical="center" indent="1"/>
    </xf>
    <xf numFmtId="0" fontId="34" fillId="4" borderId="27" xfId="0" applyFont="1" applyFill="1" applyBorder="1" applyAlignment="1">
      <alignment horizontal="left" vertical="center" indent="1"/>
    </xf>
    <xf numFmtId="0" fontId="45" fillId="9" borderId="0" xfId="0" applyFont="1" applyFill="1" applyBorder="1" applyAlignment="1">
      <alignment horizontal="center" vertical="center"/>
    </xf>
    <xf numFmtId="0" fontId="45" fillId="9" borderId="39" xfId="0" applyFont="1" applyFill="1" applyBorder="1" applyAlignment="1">
      <alignment horizontal="center" vertical="center"/>
    </xf>
    <xf numFmtId="0" fontId="34" fillId="0" borderId="22" xfId="0" applyFont="1" applyFill="1" applyBorder="1" applyAlignment="1">
      <alignment horizontal="left" vertical="center" indent="1"/>
    </xf>
    <xf numFmtId="0" fontId="34" fillId="0" borderId="33" xfId="0" applyFont="1" applyFill="1" applyBorder="1" applyAlignment="1">
      <alignment horizontal="left" vertical="center" indent="1"/>
    </xf>
    <xf numFmtId="0" fontId="34" fillId="0" borderId="13" xfId="0" applyFont="1" applyFill="1" applyBorder="1" applyAlignment="1">
      <alignment horizontal="left" vertical="center" indent="1"/>
    </xf>
    <xf numFmtId="0" fontId="61" fillId="0" borderId="6"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7" xfId="0" applyFont="1" applyFill="1" applyBorder="1" applyAlignment="1">
      <alignment horizontal="center" vertical="center" wrapText="1"/>
    </xf>
    <xf numFmtId="169" fontId="34" fillId="13" borderId="27" xfId="0" applyNumberFormat="1" applyFont="1" applyFill="1" applyBorder="1" applyAlignment="1">
      <alignment horizontal="center" vertical="center"/>
    </xf>
    <xf numFmtId="169" fontId="34" fillId="13" borderId="12" xfId="0" applyNumberFormat="1" applyFont="1" applyFill="1" applyBorder="1" applyAlignment="1">
      <alignment horizontal="center" vertical="center"/>
    </xf>
    <xf numFmtId="0" fontId="34" fillId="4" borderId="26" xfId="0" applyFont="1" applyFill="1" applyBorder="1" applyAlignment="1">
      <alignment horizontal="left" vertical="center" wrapText="1" indent="1"/>
    </xf>
    <xf numFmtId="0" fontId="34" fillId="4" borderId="34" xfId="0" applyFont="1" applyFill="1" applyBorder="1" applyAlignment="1">
      <alignment horizontal="left" vertical="center" wrapText="1" indent="1"/>
    </xf>
    <xf numFmtId="0" fontId="34" fillId="4" borderId="27" xfId="0" applyFont="1" applyFill="1" applyBorder="1" applyAlignment="1">
      <alignment horizontal="left" vertical="center" wrapText="1" indent="1"/>
    </xf>
    <xf numFmtId="0" fontId="45" fillId="9" borderId="38" xfId="0" applyFont="1" applyFill="1" applyBorder="1" applyAlignment="1">
      <alignment horizontal="center" vertical="center"/>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169" fontId="34" fillId="4" borderId="26"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34" fillId="4" borderId="22"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13" xfId="0" applyFont="1" applyFill="1" applyBorder="1" applyAlignment="1">
      <alignment horizontal="left" vertical="center" wrapText="1" indent="1"/>
    </xf>
    <xf numFmtId="0" fontId="45" fillId="21" borderId="82" xfId="0" applyFont="1" applyFill="1" applyBorder="1" applyAlignment="1">
      <alignment horizontal="center" vertical="center"/>
    </xf>
    <xf numFmtId="0" fontId="45" fillId="21" borderId="0" xfId="0" applyFont="1" applyFill="1" applyBorder="1" applyAlignment="1">
      <alignment horizontal="center" vertical="center"/>
    </xf>
    <xf numFmtId="0" fontId="45" fillId="22" borderId="83" xfId="0" applyFont="1" applyFill="1" applyBorder="1" applyAlignment="1">
      <alignment horizontal="center" vertical="center"/>
    </xf>
    <xf numFmtId="0" fontId="45" fillId="22" borderId="84" xfId="0" applyFont="1" applyFill="1" applyBorder="1" applyAlignment="1">
      <alignment horizontal="center" vertical="center"/>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31" xfId="0" applyFont="1" applyFill="1" applyBorder="1" applyAlignment="1">
      <alignment horizontal="left" vertical="center" indent="1"/>
    </xf>
    <xf numFmtId="0" fontId="19" fillId="4" borderId="12" xfId="0" applyFont="1" applyFill="1" applyBorder="1" applyAlignment="1">
      <alignment horizontal="left" vertical="center" indent="1"/>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48" fillId="7" borderId="32" xfId="0" applyNumberFormat="1" applyFont="1" applyFill="1" applyBorder="1" applyAlignment="1">
      <alignment horizontal="center" vertical="center" wrapText="1"/>
    </xf>
    <xf numFmtId="0" fontId="48" fillId="7" borderId="29" xfId="0" applyNumberFormat="1" applyFont="1" applyFill="1" applyBorder="1" applyAlignment="1">
      <alignment horizontal="center" vertical="center" wrapText="1"/>
    </xf>
    <xf numFmtId="0" fontId="48" fillId="7" borderId="25" xfId="0" applyNumberFormat="1" applyFont="1" applyFill="1" applyBorder="1" applyAlignment="1">
      <alignment horizontal="center" vertical="center" wrapTex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52" fillId="17" borderId="29" xfId="0" applyFont="1" applyFill="1" applyBorder="1" applyAlignment="1">
      <alignment horizontal="center" vertical="center"/>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47" fillId="4" borderId="36" xfId="0" applyFont="1" applyFill="1" applyBorder="1" applyAlignment="1">
      <alignment horizontal="left" vertical="center" indent="1"/>
    </xf>
    <xf numFmtId="0" fontId="47" fillId="4" borderId="28" xfId="0" applyFont="1" applyFill="1" applyBorder="1" applyAlignment="1">
      <alignment horizontal="left" vertical="center" indent="1"/>
    </xf>
    <xf numFmtId="0" fontId="47" fillId="4" borderId="37" xfId="0" applyFont="1" applyFill="1" applyBorder="1" applyAlignment="1">
      <alignment horizontal="left" vertical="center" indent="1"/>
    </xf>
    <xf numFmtId="0" fontId="47" fillId="4" borderId="17"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2" xfId="0" applyFont="1" applyFill="1" applyBorder="1" applyAlignment="1">
      <alignment horizontal="left" vertical="center" indent="1"/>
    </xf>
    <xf numFmtId="0" fontId="47" fillId="4" borderId="26" xfId="0" applyFont="1" applyFill="1" applyBorder="1" applyAlignment="1">
      <alignment horizontal="left" vertical="center" indent="1"/>
    </xf>
    <xf numFmtId="0" fontId="47" fillId="4" borderId="34" xfId="0" applyFont="1" applyFill="1" applyBorder="1" applyAlignment="1">
      <alignment horizontal="left" vertical="center" indent="1"/>
    </xf>
    <xf numFmtId="0" fontId="47" fillId="4" borderId="27" xfId="0" applyFont="1" applyFill="1" applyBorder="1" applyAlignment="1">
      <alignment horizontal="left" vertical="center" indent="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45" fillId="9" borderId="0" xfId="0" applyFont="1" applyFill="1" applyBorder="1" applyAlignment="1">
      <alignment horizontal="center" vertical="center" wrapText="1" readingOrder="1"/>
    </xf>
    <xf numFmtId="0" fontId="45" fillId="9" borderId="39" xfId="0" applyFont="1" applyFill="1" applyBorder="1" applyAlignment="1">
      <alignment horizontal="center" vertical="center" wrapText="1" readingOrder="1"/>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170" fontId="19" fillId="4" borderId="6" xfId="0" applyNumberFormat="1" applyFont="1" applyFill="1" applyBorder="1" applyAlignment="1">
      <alignment horizontal="center" vertical="center" wrapText="1"/>
    </xf>
    <xf numFmtId="170" fontId="19" fillId="4" borderId="7" xfId="0" applyNumberFormat="1" applyFont="1" applyFill="1" applyBorder="1" applyAlignment="1">
      <alignment horizontal="center" vertical="center" wrapText="1"/>
    </xf>
    <xf numFmtId="0" fontId="19" fillId="4" borderId="78" xfId="0" applyFont="1" applyFill="1" applyBorder="1" applyAlignment="1">
      <alignment horizontal="left" vertical="center" wrapText="1" indent="1"/>
    </xf>
    <xf numFmtId="0" fontId="19" fillId="4" borderId="79" xfId="0" applyFont="1" applyFill="1" applyBorder="1" applyAlignment="1">
      <alignment horizontal="left" vertical="center" wrapText="1" indent="1"/>
    </xf>
    <xf numFmtId="0" fontId="19" fillId="4" borderId="80"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0" fontId="34" fillId="20" borderId="1" xfId="0" applyFont="1" applyFill="1" applyBorder="1" applyAlignment="1">
      <alignment horizontal="center" vertical="center" textRotation="90"/>
    </xf>
    <xf numFmtId="0" fontId="19" fillId="4" borderId="78" xfId="0" applyFont="1" applyFill="1" applyBorder="1" applyAlignment="1">
      <alignment horizontal="left" vertical="center" indent="1"/>
    </xf>
    <xf numFmtId="0" fontId="19" fillId="4" borderId="79" xfId="0" applyFont="1" applyFill="1" applyBorder="1" applyAlignment="1">
      <alignment horizontal="left" vertical="center" indent="1"/>
    </xf>
    <xf numFmtId="0" fontId="19" fillId="4" borderId="80" xfId="0" applyFont="1" applyFill="1" applyBorder="1" applyAlignment="1">
      <alignment horizontal="left" vertical="center" indent="1"/>
    </xf>
    <xf numFmtId="0" fontId="54" fillId="9" borderId="0" xfId="0" applyFont="1" applyFill="1" applyBorder="1" applyAlignment="1">
      <alignment horizontal="center" vertical="center" wrapText="1" readingOrder="1"/>
    </xf>
    <xf numFmtId="0" fontId="34" fillId="4" borderId="19" xfId="0" applyFont="1" applyFill="1" applyBorder="1" applyAlignment="1">
      <alignment horizontal="left" vertical="center" wrapText="1" indent="1"/>
    </xf>
    <xf numFmtId="0" fontId="34" fillId="4" borderId="35" xfId="0" applyFont="1" applyFill="1" applyBorder="1" applyAlignment="1">
      <alignment horizontal="left" vertical="center" wrapText="1" indent="1"/>
    </xf>
    <xf numFmtId="0" fontId="34" fillId="4" borderId="30" xfId="0" applyFont="1" applyFill="1" applyBorder="1" applyAlignment="1">
      <alignment horizontal="left" vertical="center" wrapText="1" indent="1"/>
    </xf>
    <xf numFmtId="165" fontId="34" fillId="4" borderId="20" xfId="0" applyNumberFormat="1" applyFont="1" applyFill="1" applyBorder="1" applyAlignment="1">
      <alignment horizontal="center" vertical="center"/>
    </xf>
    <xf numFmtId="165" fontId="34" fillId="4" borderId="16" xfId="0" applyNumberFormat="1" applyFont="1" applyFill="1" applyBorder="1" applyAlignment="1">
      <alignment horizontal="center" vertical="center"/>
    </xf>
    <xf numFmtId="165" fontId="34" fillId="4" borderId="10" xfId="0" applyNumberFormat="1" applyFont="1" applyFill="1" applyBorder="1" applyAlignment="1">
      <alignment horizontal="center" vertical="center"/>
    </xf>
    <xf numFmtId="0" fontId="45" fillId="9" borderId="38" xfId="0" applyFont="1" applyFill="1" applyBorder="1" applyAlignment="1">
      <alignment horizontal="center" vertical="center" wrapText="1" readingOrder="1"/>
    </xf>
    <xf numFmtId="0" fontId="54" fillId="9" borderId="38" xfId="0" applyFont="1" applyFill="1" applyBorder="1" applyAlignment="1">
      <alignment horizontal="center" vertical="center" wrapText="1" readingOrder="1"/>
    </xf>
    <xf numFmtId="170" fontId="19" fillId="4" borderId="18" xfId="0" applyNumberFormat="1" applyFont="1" applyFill="1" applyBorder="1" applyAlignment="1">
      <alignment horizontal="center" vertical="center" wrapText="1"/>
    </xf>
    <xf numFmtId="170" fontId="19" fillId="4" borderId="11" xfId="0" applyNumberFormat="1" applyFont="1" applyFill="1" applyBorder="1" applyAlignment="1">
      <alignment horizontal="center" vertical="center" wrapText="1"/>
    </xf>
    <xf numFmtId="0" fontId="52" fillId="9" borderId="0" xfId="0" applyFont="1" applyFill="1" applyBorder="1" applyAlignment="1">
      <alignment horizontal="center" vertical="center"/>
    </xf>
    <xf numFmtId="0" fontId="52" fillId="9" borderId="38" xfId="0" applyFont="1" applyFill="1" applyBorder="1" applyAlignment="1">
      <alignment horizontal="center" vertical="center"/>
    </xf>
    <xf numFmtId="169" fontId="47" fillId="4" borderId="17"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6" xfId="0" applyNumberFormat="1"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22"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0" fontId="47" fillId="4" borderId="6" xfId="0" applyFont="1" applyFill="1" applyBorder="1" applyAlignment="1">
      <alignment horizontal="left" vertical="center" wrapText="1" indent="1"/>
    </xf>
    <xf numFmtId="0" fontId="47" fillId="4" borderId="7" xfId="0" applyFont="1" applyFill="1" applyBorder="1" applyAlignment="1">
      <alignment horizontal="left" vertical="center" wrapText="1" indent="1"/>
    </xf>
    <xf numFmtId="169" fontId="47" fillId="4" borderId="16" xfId="0" applyNumberFormat="1" applyFont="1" applyFill="1" applyBorder="1" applyAlignment="1">
      <alignment horizontal="center" vertical="center"/>
    </xf>
    <xf numFmtId="169" fontId="47" fillId="4" borderId="10"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52" fillId="9" borderId="38" xfId="0" applyNumberFormat="1" applyFont="1" applyFill="1" applyBorder="1" applyAlignment="1">
      <alignment horizontal="center" vertical="center"/>
    </xf>
    <xf numFmtId="169" fontId="47" fillId="13" borderId="17" xfId="0" applyNumberFormat="1" applyFont="1" applyFill="1" applyBorder="1" applyAlignment="1">
      <alignment horizontal="center" vertical="center"/>
    </xf>
    <xf numFmtId="169" fontId="47" fillId="13" borderId="12" xfId="0" applyNumberFormat="1" applyFont="1" applyFill="1" applyBorder="1" applyAlignment="1">
      <alignment horizontal="center" vertical="center"/>
    </xf>
    <xf numFmtId="0" fontId="47" fillId="4" borderId="17" xfId="0" applyFont="1" applyFill="1" applyBorder="1" applyAlignment="1">
      <alignment horizontal="left" vertical="center" wrapText="1" indent="1"/>
    </xf>
    <xf numFmtId="0" fontId="47" fillId="4" borderId="12" xfId="0" applyFont="1" applyFill="1" applyBorder="1" applyAlignment="1">
      <alignment horizontal="left" vertical="center" wrapText="1" indent="1"/>
    </xf>
    <xf numFmtId="169" fontId="47" fillId="13" borderId="6" xfId="0" applyNumberFormat="1" applyFont="1" applyFill="1" applyBorder="1" applyAlignment="1">
      <alignment horizontal="center" vertical="center"/>
    </xf>
    <xf numFmtId="169" fontId="47" fillId="13" borderId="7" xfId="0" applyNumberFormat="1" applyFont="1" applyFill="1" applyBorder="1" applyAlignment="1">
      <alignment horizontal="center" vertical="center"/>
    </xf>
    <xf numFmtId="0" fontId="65" fillId="4" borderId="6" xfId="0" applyFont="1" applyFill="1" applyBorder="1" applyAlignment="1">
      <alignment horizontal="left" vertical="center" wrapText="1" indent="1"/>
    </xf>
    <xf numFmtId="0" fontId="65" fillId="4" borderId="7" xfId="0" applyFont="1" applyFill="1" applyBorder="1" applyAlignment="1">
      <alignment horizontal="left" vertical="center" wrapText="1" indent="1"/>
    </xf>
    <xf numFmtId="0" fontId="47" fillId="4" borderId="22" xfId="0" applyFont="1" applyFill="1" applyBorder="1" applyAlignment="1">
      <alignment horizontal="left" vertical="center" wrapText="1" indent="1"/>
    </xf>
    <xf numFmtId="0" fontId="47" fillId="4" borderId="13" xfId="0" applyFont="1" applyFill="1" applyBorder="1" applyAlignment="1">
      <alignment horizontal="left" vertical="center" wrapText="1" indent="1"/>
    </xf>
    <xf numFmtId="0" fontId="65" fillId="4" borderId="17" xfId="0" applyFont="1" applyFill="1" applyBorder="1" applyAlignment="1">
      <alignment horizontal="left" vertical="center" wrapText="1" indent="1"/>
    </xf>
    <xf numFmtId="0" fontId="65" fillId="4" borderId="12" xfId="0" applyFont="1" applyFill="1" applyBorder="1" applyAlignment="1">
      <alignment horizontal="left" vertical="center" wrapText="1" indent="1"/>
    </xf>
    <xf numFmtId="169" fontId="47" fillId="4" borderId="21" xfId="0" applyNumberFormat="1" applyFont="1" applyFill="1" applyBorder="1" applyAlignment="1">
      <alignment horizontal="center" vertical="center"/>
    </xf>
    <xf numFmtId="169" fontId="47" fillId="4" borderId="18" xfId="0" applyNumberFormat="1" applyFont="1" applyFill="1" applyBorder="1" applyAlignment="1">
      <alignment horizontal="center" vertical="center"/>
    </xf>
    <xf numFmtId="169" fontId="47" fillId="4" borderId="11" xfId="0" applyNumberFormat="1" applyFont="1" applyFill="1" applyBorder="1" applyAlignment="1">
      <alignment horizontal="center" vertical="center"/>
    </xf>
    <xf numFmtId="0" fontId="65" fillId="4" borderId="22" xfId="0" applyFont="1" applyFill="1" applyBorder="1" applyAlignment="1">
      <alignment horizontal="left" vertical="center" wrapText="1" indent="1"/>
    </xf>
    <xf numFmtId="0" fontId="65" fillId="4" borderId="13" xfId="0" applyFont="1" applyFill="1" applyBorder="1" applyAlignment="1">
      <alignment horizontal="left" vertical="center" wrapText="1" indent="1"/>
    </xf>
    <xf numFmtId="0" fontId="65" fillId="4" borderId="17" xfId="0" applyFont="1" applyFill="1" applyBorder="1" applyAlignment="1">
      <alignment horizontal="left" vertical="center" indent="1"/>
    </xf>
    <xf numFmtId="0" fontId="65" fillId="4" borderId="12" xfId="0" applyFont="1" applyFill="1" applyBorder="1" applyAlignment="1">
      <alignment horizontal="left" vertical="center" indent="1"/>
    </xf>
    <xf numFmtId="169" fontId="47" fillId="4" borderId="33" xfId="0" applyNumberFormat="1" applyFont="1" applyFill="1" applyBorder="1" applyAlignment="1">
      <alignment horizontal="center" vertical="center"/>
    </xf>
    <xf numFmtId="169" fontId="47" fillId="4" borderId="31"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52" fillId="9" borderId="90" xfId="0" applyFont="1" applyFill="1" applyBorder="1" applyAlignment="1">
      <alignment horizontal="center" vertical="center"/>
    </xf>
    <xf numFmtId="0" fontId="52" fillId="4" borderId="99" xfId="0" applyFont="1" applyFill="1" applyBorder="1" applyAlignment="1">
      <alignment horizontal="center" vertical="center"/>
    </xf>
    <xf numFmtId="169" fontId="47" fillId="4" borderId="3"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0" fontId="52" fillId="9" borderId="90" xfId="0" applyFont="1" applyFill="1" applyBorder="1" applyAlignment="1">
      <alignment horizontal="center" wrapText="1"/>
    </xf>
    <xf numFmtId="0" fontId="52" fillId="9" borderId="38" xfId="0" applyFont="1" applyFill="1" applyBorder="1" applyAlignment="1">
      <alignment horizontal="center" wrapText="1"/>
    </xf>
    <xf numFmtId="0" fontId="52" fillId="9" borderId="0" xfId="0" applyFont="1" applyFill="1" applyAlignment="1">
      <alignment horizontal="left" vertical="center" indent="1"/>
    </xf>
    <xf numFmtId="0" fontId="64" fillId="4" borderId="6" xfId="0" applyFont="1" applyFill="1" applyBorder="1" applyAlignment="1">
      <alignment horizontal="left" vertical="center" wrapText="1" indent="1"/>
    </xf>
    <xf numFmtId="0" fontId="64" fillId="4" borderId="7" xfId="0" applyFont="1" applyFill="1" applyBorder="1" applyAlignment="1">
      <alignment horizontal="left" vertical="center" wrapText="1" indent="1"/>
    </xf>
    <xf numFmtId="0" fontId="64" fillId="4" borderId="18" xfId="0" applyFont="1" applyFill="1" applyBorder="1" applyAlignment="1">
      <alignment horizontal="left" vertical="center" indent="1"/>
    </xf>
    <xf numFmtId="0" fontId="64" fillId="4" borderId="11" xfId="0" applyFont="1" applyFill="1" applyBorder="1" applyAlignment="1">
      <alignment horizontal="left" vertical="center" indent="1"/>
    </xf>
    <xf numFmtId="0" fontId="64" fillId="4" borderId="6" xfId="0" applyFont="1" applyFill="1" applyBorder="1" applyAlignment="1">
      <alignment horizontal="left" vertical="center" indent="1"/>
    </xf>
    <xf numFmtId="0" fontId="64" fillId="4" borderId="7" xfId="0" applyFont="1" applyFill="1" applyBorder="1" applyAlignment="1">
      <alignment horizontal="left" vertical="center" indent="1"/>
    </xf>
    <xf numFmtId="0" fontId="52" fillId="9" borderId="0" xfId="0" applyFont="1" applyFill="1" applyBorder="1" applyAlignment="1">
      <alignment horizontal="left" vertical="center" indent="1"/>
    </xf>
    <xf numFmtId="0" fontId="64" fillId="4" borderId="17" xfId="0" applyFont="1" applyFill="1" applyBorder="1" applyAlignment="1">
      <alignment horizontal="left" vertical="center" indent="1"/>
    </xf>
    <xf numFmtId="0" fontId="64" fillId="4" borderId="12" xfId="0" applyFont="1" applyFill="1" applyBorder="1" applyAlignment="1">
      <alignment horizontal="left" vertical="center" indent="1"/>
    </xf>
    <xf numFmtId="0" fontId="64" fillId="4" borderId="22" xfId="0" applyFont="1" applyFill="1" applyBorder="1" applyAlignment="1">
      <alignment horizontal="left" vertical="center" indent="1"/>
    </xf>
    <xf numFmtId="0" fontId="64" fillId="4" borderId="13" xfId="0" applyFont="1" applyFill="1" applyBorder="1" applyAlignment="1">
      <alignment horizontal="left" vertical="center" indent="1"/>
    </xf>
    <xf numFmtId="0" fontId="64" fillId="4" borderId="3" xfId="0" applyFont="1" applyFill="1" applyBorder="1" applyAlignment="1">
      <alignment horizontal="left" vertical="center" indent="1"/>
    </xf>
    <xf numFmtId="0" fontId="52" fillId="9" borderId="0" xfId="0" applyFont="1" applyFill="1" applyBorder="1" applyAlignment="1">
      <alignment horizontal="left" vertical="center" wrapText="1" indent="1"/>
    </xf>
    <xf numFmtId="0" fontId="47" fillId="4" borderId="2" xfId="0" applyFont="1" applyFill="1" applyBorder="1" applyAlignment="1">
      <alignment horizontal="left" vertical="center" wrapText="1" indent="1"/>
    </xf>
    <xf numFmtId="0" fontId="47" fillId="4" borderId="11" xfId="0" applyFont="1" applyFill="1" applyBorder="1" applyAlignment="1">
      <alignment horizontal="left" vertical="center" wrapText="1" indent="1"/>
    </xf>
    <xf numFmtId="169" fontId="47" fillId="4" borderId="2" xfId="0" applyNumberFormat="1" applyFont="1" applyFill="1" applyBorder="1" applyAlignment="1">
      <alignment horizontal="center" vertical="center"/>
    </xf>
    <xf numFmtId="0" fontId="52" fillId="9" borderId="0" xfId="0" applyFont="1" applyFill="1" applyAlignment="1">
      <alignment horizontal="center" vertical="center"/>
    </xf>
    <xf numFmtId="0" fontId="34" fillId="4" borderId="20" xfId="0" applyFont="1" applyFill="1" applyBorder="1" applyAlignment="1">
      <alignment horizontal="left" vertical="center" wrapText="1"/>
    </xf>
    <xf numFmtId="0" fontId="34" fillId="4" borderId="10" xfId="0" applyFont="1" applyFill="1" applyBorder="1" applyAlignment="1">
      <alignment horizontal="left" vertical="center" wrapText="1"/>
    </xf>
    <xf numFmtId="169" fontId="34" fillId="4" borderId="6" xfId="8" applyNumberFormat="1" applyFont="1" applyFill="1" applyBorder="1" applyAlignment="1">
      <alignment horizontal="center"/>
    </xf>
    <xf numFmtId="169" fontId="34" fillId="4" borderId="7" xfId="8" applyNumberFormat="1" applyFont="1" applyFill="1" applyBorder="1" applyAlignment="1">
      <alignment horizontal="center"/>
    </xf>
    <xf numFmtId="0" fontId="34" fillId="4" borderId="32" xfId="0" applyFont="1" applyFill="1" applyBorder="1" applyAlignment="1">
      <alignment horizontal="center" vertical="center" wrapText="1"/>
    </xf>
    <xf numFmtId="0" fontId="34" fillId="4" borderId="25" xfId="0" applyFont="1" applyFill="1" applyBorder="1" applyAlignment="1">
      <alignment horizontal="center" vertical="center" wrapText="1"/>
    </xf>
    <xf numFmtId="169" fontId="34" fillId="4" borderId="18" xfId="0"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0" fontId="34" fillId="4" borderId="6" xfId="0" applyFont="1" applyFill="1" applyBorder="1" applyAlignment="1">
      <alignment horizontal="left" vertical="center" indent="1" readingOrder="1"/>
    </xf>
    <xf numFmtId="0" fontId="34" fillId="4" borderId="7" xfId="0" applyFont="1" applyFill="1" applyBorder="1" applyAlignment="1">
      <alignment horizontal="left" vertical="center" indent="1" readingOrder="1"/>
    </xf>
    <xf numFmtId="169" fontId="34" fillId="4" borderId="32" xfId="0" applyNumberFormat="1" applyFont="1" applyFill="1" applyBorder="1" applyAlignment="1">
      <alignment horizontal="center" vertical="center"/>
    </xf>
    <xf numFmtId="169" fontId="34" fillId="4" borderId="25" xfId="0" applyNumberFormat="1" applyFont="1" applyFill="1" applyBorder="1" applyAlignment="1">
      <alignment horizontal="center" vertical="center"/>
    </xf>
    <xf numFmtId="169" fontId="34" fillId="4" borderId="19"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xf>
    <xf numFmtId="0" fontId="34" fillId="4" borderId="36" xfId="0" applyFont="1" applyFill="1" applyBorder="1" applyAlignment="1">
      <alignment horizontal="center" vertical="center" wrapText="1"/>
    </xf>
    <xf numFmtId="0" fontId="34" fillId="4" borderId="37"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11" xfId="0" applyFont="1" applyFill="1" applyBorder="1" applyAlignment="1">
      <alignment horizontal="center" vertical="center" wrapText="1"/>
    </xf>
    <xf numFmtId="165" fontId="34" fillId="4" borderId="36" xfId="0" applyNumberFormat="1" applyFont="1" applyFill="1" applyBorder="1" applyAlignment="1">
      <alignment horizontal="center" vertical="center"/>
    </xf>
    <xf numFmtId="165" fontId="34" fillId="4" borderId="37" xfId="0" applyNumberFormat="1" applyFont="1" applyFill="1" applyBorder="1" applyAlignment="1">
      <alignment horizontal="center" vertical="center"/>
    </xf>
    <xf numFmtId="165" fontId="34" fillId="4" borderId="18" xfId="0" applyNumberFormat="1" applyFont="1" applyFill="1" applyBorder="1" applyAlignment="1">
      <alignment horizontal="center" vertical="center"/>
    </xf>
    <xf numFmtId="165" fontId="34" fillId="4" borderId="11" xfId="0" applyNumberFormat="1" applyFont="1" applyFill="1" applyBorder="1" applyAlignment="1">
      <alignment horizontal="center" vertical="center"/>
    </xf>
    <xf numFmtId="0" fontId="34" fillId="4" borderId="3" xfId="0" applyFont="1" applyFill="1" applyBorder="1" applyAlignment="1">
      <alignment horizontal="center" vertical="center" wrapText="1"/>
    </xf>
    <xf numFmtId="0" fontId="34" fillId="4" borderId="1" xfId="0" applyFont="1" applyFill="1" applyBorder="1" applyAlignment="1">
      <alignment horizontal="center" vertical="center" wrapText="1"/>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34" fillId="4" borderId="6" xfId="11" applyFont="1" applyFill="1" applyBorder="1" applyAlignment="1">
      <alignment horizontal="left" indent="1"/>
    </xf>
    <xf numFmtId="0" fontId="34" fillId="4" borderId="7" xfId="11" applyFont="1" applyFill="1" applyBorder="1" applyAlignment="1">
      <alignment horizontal="left" indent="1"/>
    </xf>
    <xf numFmtId="0" fontId="34" fillId="4" borderId="16" xfId="0" applyFont="1" applyFill="1" applyBorder="1" applyAlignment="1">
      <alignment horizontal="left" vertical="center" indent="1"/>
    </xf>
    <xf numFmtId="0" fontId="34" fillId="4" borderId="10" xfId="0" applyFont="1" applyFill="1" applyBorder="1" applyAlignment="1">
      <alignment horizontal="left" vertical="center" indent="1"/>
    </xf>
    <xf numFmtId="0" fontId="34" fillId="23" borderId="1" xfId="0" applyFont="1" applyFill="1" applyBorder="1" applyAlignment="1">
      <alignment horizontal="center" vertical="center" textRotation="90"/>
    </xf>
    <xf numFmtId="0" fontId="34" fillId="23" borderId="86" xfId="0" applyFont="1" applyFill="1" applyBorder="1" applyAlignment="1">
      <alignment horizontal="center" vertical="center" textRotation="90"/>
    </xf>
    <xf numFmtId="0" fontId="34" fillId="4" borderId="22" xfId="11" applyFont="1" applyFill="1" applyBorder="1" applyAlignment="1">
      <alignment horizontal="left" indent="1"/>
    </xf>
    <xf numFmtId="0" fontId="34" fillId="4" borderId="13" xfId="11" applyFont="1" applyFill="1" applyBorder="1" applyAlignment="1">
      <alignment horizontal="left" indent="1"/>
    </xf>
    <xf numFmtId="0" fontId="34" fillId="4" borderId="19" xfId="0" applyFont="1" applyFill="1" applyBorder="1" applyAlignment="1">
      <alignment horizontal="left" vertical="center" indent="1" readingOrder="1"/>
    </xf>
    <xf numFmtId="0" fontId="34" fillId="4" borderId="30" xfId="0" applyFont="1" applyFill="1" applyBorder="1" applyAlignment="1">
      <alignment horizontal="left" vertical="center" indent="1" readingOrder="1"/>
    </xf>
    <xf numFmtId="169" fontId="34" fillId="4" borderId="22" xfId="8" applyNumberFormat="1" applyFont="1" applyFill="1" applyBorder="1" applyAlignment="1">
      <alignment horizontal="center"/>
    </xf>
    <xf numFmtId="169" fontId="34" fillId="4" borderId="13" xfId="8" applyNumberFormat="1" applyFont="1" applyFill="1" applyBorder="1" applyAlignment="1">
      <alignment horizontal="center"/>
    </xf>
    <xf numFmtId="0" fontId="34" fillId="4" borderId="22" xfId="0" applyFont="1" applyFill="1" applyBorder="1" applyAlignment="1">
      <alignment horizontal="left" vertical="center" indent="1" readingOrder="1"/>
    </xf>
    <xf numFmtId="0" fontId="34" fillId="4" borderId="13" xfId="0" applyFont="1" applyFill="1" applyBorder="1" applyAlignment="1">
      <alignment horizontal="left" vertical="center" indent="1" readingOrder="1"/>
    </xf>
    <xf numFmtId="0" fontId="34" fillId="4" borderId="17" xfId="0" applyFont="1" applyFill="1" applyBorder="1" applyAlignment="1">
      <alignment horizontal="left" vertical="center" indent="1" readingOrder="1"/>
    </xf>
    <xf numFmtId="0" fontId="34" fillId="4" borderId="12" xfId="0" applyFont="1" applyFill="1" applyBorder="1" applyAlignment="1">
      <alignment horizontal="left" vertical="center" indent="1" readingOrder="1"/>
    </xf>
    <xf numFmtId="0" fontId="52" fillId="9" borderId="0" xfId="11" applyFont="1" applyFill="1" applyBorder="1" applyAlignment="1">
      <alignment horizontal="left" vertical="center" wrapText="1" indent="1"/>
    </xf>
    <xf numFmtId="0" fontId="41" fillId="4" borderId="0" xfId="0" applyFont="1" applyFill="1" applyBorder="1" applyAlignment="1">
      <alignment horizontal="center" vertical="center" wrapText="1"/>
    </xf>
    <xf numFmtId="0" fontId="34" fillId="4" borderId="16" xfId="0" applyFont="1" applyFill="1" applyBorder="1" applyAlignment="1">
      <alignment horizontal="center" vertical="center"/>
    </xf>
    <xf numFmtId="0" fontId="34" fillId="4" borderId="10" xfId="0" applyFont="1" applyFill="1" applyBorder="1" applyAlignment="1">
      <alignment horizontal="center" vertical="center"/>
    </xf>
    <xf numFmtId="165" fontId="41" fillId="4" borderId="0" xfId="0" applyNumberFormat="1" applyFont="1" applyFill="1" applyBorder="1" applyAlignment="1">
      <alignment horizontal="center" vertical="center"/>
    </xf>
    <xf numFmtId="169" fontId="34" fillId="4" borderId="17" xfId="8" applyNumberFormat="1" applyFont="1" applyFill="1" applyBorder="1" applyAlignment="1">
      <alignment horizontal="center"/>
    </xf>
    <xf numFmtId="169" fontId="34" fillId="4" borderId="12" xfId="8" applyNumberFormat="1" applyFont="1" applyFill="1" applyBorder="1" applyAlignment="1">
      <alignment horizontal="center"/>
    </xf>
    <xf numFmtId="0" fontId="45" fillId="9" borderId="0" xfId="0" applyFont="1" applyFill="1" applyBorder="1" applyAlignment="1">
      <alignment horizontal="center" vertical="center" wrapText="1"/>
    </xf>
    <xf numFmtId="165" fontId="34" fillId="4" borderId="3" xfId="0" applyNumberFormat="1" applyFont="1" applyFill="1" applyBorder="1" applyAlignment="1">
      <alignment horizontal="center" vertical="center"/>
    </xf>
    <xf numFmtId="165" fontId="34" fillId="4" borderId="1" xfId="0" applyNumberFormat="1" applyFont="1" applyFill="1" applyBorder="1" applyAlignment="1">
      <alignment horizontal="center" vertical="center"/>
    </xf>
    <xf numFmtId="0" fontId="45" fillId="9" borderId="38" xfId="0" applyFont="1" applyFill="1" applyBorder="1" applyAlignment="1">
      <alignment horizontal="center" vertical="center" wrapText="1"/>
    </xf>
    <xf numFmtId="0" fontId="45" fillId="9" borderId="0" xfId="0" applyFont="1" applyFill="1" applyBorder="1" applyAlignment="1">
      <alignment horizontal="left" vertical="center" wrapText="1" indent="1"/>
    </xf>
    <xf numFmtId="0" fontId="34" fillId="4" borderId="17" xfId="11" applyFont="1" applyFill="1" applyBorder="1" applyAlignment="1">
      <alignment horizontal="left" indent="1"/>
    </xf>
    <xf numFmtId="0" fontId="34" fillId="4" borderId="12" xfId="11" applyFont="1" applyFill="1" applyBorder="1" applyAlignment="1">
      <alignment horizontal="left"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169" fontId="34" fillId="13" borderId="6" xfId="0" applyNumberFormat="1" applyFont="1" applyFill="1" applyBorder="1" applyAlignment="1">
      <alignment horizontal="center" vertical="center" wrapText="1"/>
    </xf>
    <xf numFmtId="169" fontId="34" fillId="13" borderId="7" xfId="0" applyNumberFormat="1" applyFont="1" applyFill="1" applyBorder="1" applyAlignment="1">
      <alignment horizontal="center" vertical="center" wrapText="1"/>
    </xf>
    <xf numFmtId="169" fontId="34" fillId="13" borderId="19" xfId="0" applyNumberFormat="1" applyFont="1" applyFill="1" applyBorder="1" applyAlignment="1">
      <alignment horizontal="center" vertical="center" wrapText="1"/>
    </xf>
    <xf numFmtId="169" fontId="34" fillId="13" borderId="30"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34" fillId="13" borderId="13" xfId="0" applyNumberFormat="1" applyFont="1" applyFill="1" applyBorder="1" applyAlignment="1">
      <alignment horizontal="center" vertical="center" wrapText="1"/>
    </xf>
    <xf numFmtId="0" fontId="45" fillId="9" borderId="99" xfId="0" applyFont="1" applyFill="1" applyBorder="1" applyAlignment="1">
      <alignment horizontal="left" vertical="center" wrapText="1" indent="1"/>
    </xf>
    <xf numFmtId="0" fontId="45" fillId="9" borderId="58" xfId="0" applyFont="1" applyFill="1" applyBorder="1" applyAlignment="1">
      <alignment horizontal="left" vertical="center" wrapText="1" indent="1"/>
    </xf>
    <xf numFmtId="169" fontId="34" fillId="4" borderId="32" xfId="0" applyNumberFormat="1" applyFont="1" applyFill="1" applyBorder="1" applyAlignment="1">
      <alignment horizontal="center" vertical="center" wrapText="1"/>
    </xf>
    <xf numFmtId="169" fontId="34" fillId="4" borderId="25"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30"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0" fontId="45" fillId="9" borderId="99" xfId="0" applyFont="1" applyFill="1" applyBorder="1" applyAlignment="1">
      <alignment horizontal="left" vertical="center" indent="1"/>
    </xf>
    <xf numFmtId="0" fontId="45" fillId="9" borderId="0" xfId="0" applyFont="1" applyFill="1" applyBorder="1" applyAlignment="1">
      <alignment horizontal="left" vertical="center" indent="1"/>
    </xf>
    <xf numFmtId="0" fontId="45" fillId="9" borderId="58" xfId="0" applyFont="1" applyFill="1" applyBorder="1" applyAlignment="1">
      <alignment horizontal="left" vertical="center" indent="1"/>
    </xf>
    <xf numFmtId="169" fontId="47" fillId="13" borderId="32" xfId="0" applyNumberFormat="1" applyFont="1" applyFill="1" applyBorder="1" applyAlignment="1">
      <alignment horizontal="center" vertical="center"/>
    </xf>
    <xf numFmtId="169" fontId="47" fillId="13" borderId="25" xfId="0" applyNumberFormat="1" applyFont="1" applyFill="1" applyBorder="1" applyAlignment="1">
      <alignment horizontal="center" vertical="center"/>
    </xf>
    <xf numFmtId="169" fontId="34" fillId="13" borderId="18" xfId="0" applyNumberFormat="1" applyFont="1" applyFill="1" applyBorder="1" applyAlignment="1">
      <alignment horizontal="center" vertical="center" wrapText="1"/>
    </xf>
    <xf numFmtId="169" fontId="34" fillId="13" borderId="11" xfId="0" applyNumberFormat="1" applyFont="1" applyFill="1" applyBorder="1" applyAlignment="1">
      <alignment horizontal="center" vertical="center" wrapText="1"/>
    </xf>
    <xf numFmtId="169" fontId="34" fillId="13" borderId="18" xfId="0" applyNumberFormat="1" applyFont="1" applyFill="1" applyBorder="1" applyAlignment="1">
      <alignment horizontal="center" vertical="center"/>
    </xf>
    <xf numFmtId="169" fontId="34" fillId="13" borderId="11" xfId="0" applyNumberFormat="1" applyFont="1" applyFill="1" applyBorder="1" applyAlignment="1">
      <alignment horizontal="center" vertical="center"/>
    </xf>
    <xf numFmtId="0" fontId="34" fillId="4" borderId="29"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169" fontId="19" fillId="4" borderId="32" xfId="0" applyNumberFormat="1" applyFont="1" applyFill="1" applyBorder="1" applyAlignment="1">
      <alignment horizontal="center" vertical="center"/>
    </xf>
    <xf numFmtId="169" fontId="19" fillId="4" borderId="25" xfId="0" applyNumberFormat="1" applyFont="1" applyFill="1" applyBorder="1" applyAlignment="1">
      <alignment horizontal="center" vertical="center"/>
    </xf>
    <xf numFmtId="169" fontId="47" fillId="4" borderId="32" xfId="0" applyNumberFormat="1" applyFont="1" applyFill="1" applyBorder="1" applyAlignment="1">
      <alignment horizontal="center" vertical="center"/>
    </xf>
    <xf numFmtId="169" fontId="47" fillId="4" borderId="25" xfId="0" applyNumberFormat="1" applyFont="1" applyFill="1" applyBorder="1" applyAlignment="1">
      <alignment horizontal="center" vertical="center"/>
    </xf>
    <xf numFmtId="169" fontId="47" fillId="4" borderId="32" xfId="0" applyNumberFormat="1" applyFont="1" applyFill="1" applyBorder="1" applyAlignment="1">
      <alignment horizontal="center" vertical="center" wrapText="1"/>
    </xf>
    <xf numFmtId="169" fontId="47" fillId="4" borderId="25" xfId="0" applyNumberFormat="1" applyFont="1" applyFill="1" applyBorder="1" applyAlignment="1">
      <alignment horizontal="center" vertical="center" wrapText="1"/>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9" fontId="52" fillId="9" borderId="0" xfId="0" applyNumberFormat="1" applyFont="1" applyFill="1" applyBorder="1" applyAlignment="1">
      <alignment horizontal="left" vertical="center" indent="1"/>
    </xf>
    <xf numFmtId="9" fontId="52" fillId="9" borderId="0" xfId="0" applyNumberFormat="1" applyFont="1" applyFill="1" applyBorder="1" applyAlignment="1">
      <alignment horizontal="center" vertical="center"/>
    </xf>
    <xf numFmtId="9" fontId="52" fillId="9" borderId="38"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wrapText="1"/>
    </xf>
    <xf numFmtId="169" fontId="34" fillId="4" borderId="7" xfId="0" applyNumberFormat="1" applyFont="1" applyFill="1" applyBorder="1" applyAlignment="1">
      <alignment horizontal="center" vertical="center" wrapText="1"/>
    </xf>
    <xf numFmtId="0" fontId="52" fillId="9" borderId="0" xfId="0" applyFont="1" applyFill="1" applyBorder="1" applyAlignment="1">
      <alignment horizontal="center" vertical="center" wrapText="1"/>
    </xf>
    <xf numFmtId="0" fontId="52" fillId="9" borderId="38" xfId="0" applyFont="1" applyFill="1" applyBorder="1" applyAlignment="1">
      <alignment horizontal="center" vertical="center" wrapText="1"/>
    </xf>
    <xf numFmtId="169" fontId="34" fillId="4" borderId="17" xfId="0" applyNumberFormat="1" applyFont="1" applyFill="1" applyBorder="1" applyAlignment="1">
      <alignment horizontal="center" vertical="center" wrapText="1"/>
    </xf>
    <xf numFmtId="169" fontId="34" fillId="4" borderId="12" xfId="0" applyNumberFormat="1" applyFont="1" applyFill="1" applyBorder="1" applyAlignment="1">
      <alignment horizontal="center" vertical="center" wrapText="1"/>
    </xf>
    <xf numFmtId="169" fontId="34" fillId="4" borderId="18" xfId="0" applyNumberFormat="1" applyFont="1" applyFill="1" applyBorder="1" applyAlignment="1">
      <alignment horizontal="center" vertical="center" wrapText="1"/>
    </xf>
    <xf numFmtId="169" fontId="34" fillId="4" borderId="11" xfId="0" applyNumberFormat="1" applyFont="1" applyFill="1" applyBorder="1" applyAlignment="1">
      <alignment horizontal="center" vertical="center" wrapText="1"/>
    </xf>
    <xf numFmtId="169" fontId="19" fillId="4" borderId="3" xfId="0" applyNumberFormat="1" applyFont="1" applyFill="1" applyBorder="1" applyAlignment="1">
      <alignment horizontal="center" vertical="center"/>
    </xf>
    <xf numFmtId="169" fontId="19" fillId="4" borderId="0" xfId="0" applyNumberFormat="1" applyFont="1" applyFill="1" applyBorder="1" applyAlignment="1">
      <alignment horizontal="center" vertical="center"/>
    </xf>
    <xf numFmtId="169" fontId="19" fillId="4" borderId="1"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169" fontId="19" fillId="4" borderId="33"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170" fontId="19" fillId="4" borderId="33" xfId="0" applyNumberFormat="1" applyFont="1" applyFill="1" applyBorder="1" applyAlignment="1">
      <alignment horizontal="center" vertical="center"/>
    </xf>
    <xf numFmtId="170" fontId="19" fillId="4" borderId="13"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38" xfId="0" applyNumberFormat="1" applyFont="1" applyFill="1" applyBorder="1" applyAlignment="1">
      <alignment horizontal="center" vertical="center"/>
    </xf>
    <xf numFmtId="0" fontId="45" fillId="9" borderId="45"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0" fontId="34" fillId="16" borderId="110" xfId="0" applyFont="1" applyFill="1" applyBorder="1" applyAlignment="1">
      <alignment horizontal="center" vertical="center" textRotation="90"/>
    </xf>
    <xf numFmtId="169" fontId="19" fillId="4" borderId="6" xfId="0" applyNumberFormat="1" applyFont="1" applyFill="1" applyBorder="1" applyAlignment="1">
      <alignment horizontal="center" vertical="center"/>
    </xf>
    <xf numFmtId="169" fontId="19" fillId="4" borderId="21" xfId="0" applyNumberFormat="1" applyFont="1" applyFill="1" applyBorder="1" applyAlignment="1">
      <alignment horizontal="center" vertical="center"/>
    </xf>
    <xf numFmtId="0" fontId="34" fillId="4" borderId="0" xfId="0"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169" fontId="19" fillId="4" borderId="31" xfId="0" applyNumberFormat="1" applyFont="1" applyFill="1" applyBorder="1" applyAlignment="1">
      <alignment horizontal="center" vertical="center"/>
    </xf>
    <xf numFmtId="169" fontId="19" fillId="4" borderId="12"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6" fontId="19" fillId="4" borderId="21" xfId="0" applyNumberFormat="1" applyFont="1" applyFill="1" applyBorder="1" applyAlignment="1">
      <alignment horizontal="center" vertical="center"/>
    </xf>
    <xf numFmtId="0" fontId="45" fillId="9" borderId="88" xfId="0" applyFont="1" applyFill="1" applyBorder="1" applyAlignment="1">
      <alignment horizontal="center" vertical="center"/>
    </xf>
    <xf numFmtId="6" fontId="45" fillId="9" borderId="0" xfId="0" applyNumberFormat="1" applyFont="1" applyFill="1" applyBorder="1" applyAlignment="1">
      <alignment horizontal="center" vertical="center"/>
    </xf>
    <xf numFmtId="6" fontId="45" fillId="9" borderId="38"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6" fontId="19" fillId="4" borderId="31" xfId="0" applyNumberFormat="1" applyFont="1" applyFill="1" applyBorder="1" applyAlignment="1">
      <alignment horizontal="center" vertical="center"/>
    </xf>
    <xf numFmtId="0" fontId="7" fillId="4" borderId="0" xfId="0" applyFont="1" applyFill="1" applyBorder="1" applyAlignment="1">
      <alignment horizontal="center" vertical="center"/>
    </xf>
    <xf numFmtId="169" fontId="19" fillId="4" borderId="17" xfId="0" applyNumberFormat="1" applyFont="1" applyFill="1" applyBorder="1" applyAlignment="1">
      <alignment horizontal="center" vertical="center"/>
    </xf>
    <xf numFmtId="169" fontId="19" fillId="4" borderId="7" xfId="0" applyNumberFormat="1" applyFont="1" applyFill="1" applyBorder="1" applyAlignment="1">
      <alignment horizontal="center" vertical="center"/>
    </xf>
    <xf numFmtId="169" fontId="19" fillId="4" borderId="2" xfId="0" applyNumberFormat="1" applyFont="1" applyFill="1" applyBorder="1" applyAlignment="1">
      <alignment horizontal="center" vertical="center"/>
    </xf>
    <xf numFmtId="169" fontId="19" fillId="4" borderId="11"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0" xfId="0" applyNumberFormat="1" applyFont="1" applyFill="1" applyBorder="1" applyAlignment="1">
      <alignment horizontal="center" vertical="center"/>
    </xf>
    <xf numFmtId="170" fontId="19" fillId="4" borderId="1" xfId="0" applyNumberFormat="1" applyFont="1" applyFill="1" applyBorder="1" applyAlignment="1">
      <alignment horizontal="center" vertical="center"/>
    </xf>
    <xf numFmtId="0" fontId="19" fillId="4" borderId="2" xfId="0" applyFont="1" applyFill="1" applyBorder="1" applyAlignment="1">
      <alignment horizontal="center" vertical="center"/>
    </xf>
    <xf numFmtId="0" fontId="19" fillId="4" borderId="11" xfId="0" applyFont="1" applyFill="1" applyBorder="1" applyAlignment="1">
      <alignment horizontal="center" vertical="center"/>
    </xf>
    <xf numFmtId="0" fontId="45" fillId="9" borderId="95" xfId="0" applyFont="1" applyFill="1" applyBorder="1" applyAlignment="1">
      <alignment horizontal="center" vertical="center" wrapText="1"/>
    </xf>
    <xf numFmtId="0" fontId="52" fillId="9" borderId="90" xfId="0" applyFont="1" applyFill="1" applyBorder="1" applyAlignment="1">
      <alignment horizontal="center" vertical="center" wrapText="1"/>
    </xf>
    <xf numFmtId="0" fontId="62" fillId="9" borderId="90" xfId="0" applyFont="1" applyFill="1" applyBorder="1" applyAlignment="1">
      <alignment horizontal="center" vertical="center"/>
    </xf>
    <xf numFmtId="0" fontId="62" fillId="9" borderId="38" xfId="0" applyFont="1" applyFill="1" applyBorder="1" applyAlignment="1">
      <alignment horizontal="center" vertical="center"/>
    </xf>
    <xf numFmtId="0" fontId="45" fillId="9" borderId="58" xfId="0" applyFont="1" applyFill="1" applyBorder="1" applyAlignment="1">
      <alignment horizontal="center" vertical="center"/>
    </xf>
    <xf numFmtId="0" fontId="58" fillId="9" borderId="90" xfId="0" applyFont="1" applyFill="1" applyBorder="1" applyAlignment="1">
      <alignment horizontal="center" vertical="center" wrapText="1"/>
    </xf>
    <xf numFmtId="0" fontId="58" fillId="9" borderId="38" xfId="0" applyFont="1" applyFill="1" applyBorder="1" applyAlignment="1">
      <alignment horizontal="center" vertical="center" wrapText="1"/>
    </xf>
    <xf numFmtId="0" fontId="45" fillId="9" borderId="45" xfId="0" applyFont="1" applyFill="1" applyBorder="1" applyAlignment="1">
      <alignment horizontal="left" vertical="center" indent="1"/>
    </xf>
    <xf numFmtId="0" fontId="45" fillId="9" borderId="99" xfId="0" applyFont="1" applyFill="1" applyBorder="1" applyAlignment="1">
      <alignment horizontal="center" vertical="center"/>
    </xf>
    <xf numFmtId="0" fontId="45" fillId="9" borderId="60" xfId="0" applyFont="1" applyFill="1" applyBorder="1" applyAlignment="1">
      <alignment horizontal="center" vertical="center"/>
    </xf>
    <xf numFmtId="0" fontId="34" fillId="16" borderId="59" xfId="0" applyFont="1" applyFill="1" applyBorder="1" applyAlignment="1">
      <alignment horizontal="center" vertical="center" textRotation="90"/>
    </xf>
    <xf numFmtId="169" fontId="34" fillId="4" borderId="0" xfId="0" applyNumberFormat="1" applyFont="1" applyFill="1" applyBorder="1" applyAlignment="1">
      <alignment horizontal="center" vertical="center"/>
    </xf>
    <xf numFmtId="169" fontId="34" fillId="4" borderId="1" xfId="0" applyNumberFormat="1" applyFont="1" applyFill="1" applyBorder="1" applyAlignment="1">
      <alignment horizontal="center" vertical="center"/>
    </xf>
    <xf numFmtId="0" fontId="34" fillId="16" borderId="0" xfId="0" applyFont="1" applyFill="1" applyBorder="1" applyAlignment="1">
      <alignment horizontal="center" vertical="center" textRotation="90"/>
    </xf>
    <xf numFmtId="2" fontId="45" fillId="9" borderId="92" xfId="0" applyNumberFormat="1" applyFont="1" applyFill="1" applyBorder="1" applyAlignment="1">
      <alignment horizontal="center" vertical="center" wrapText="1"/>
    </xf>
    <xf numFmtId="2" fontId="45" fillId="9" borderId="64" xfId="0" applyNumberFormat="1" applyFont="1" applyFill="1" applyBorder="1" applyAlignment="1">
      <alignment horizontal="center" vertical="center" wrapText="1"/>
    </xf>
    <xf numFmtId="2" fontId="45" fillId="9" borderId="93" xfId="0" applyNumberFormat="1" applyFont="1" applyFill="1" applyBorder="1" applyAlignment="1">
      <alignment horizontal="center" vertical="center" wrapText="1"/>
    </xf>
    <xf numFmtId="169" fontId="34" fillId="4" borderId="59" xfId="0" applyNumberFormat="1" applyFont="1" applyFill="1" applyBorder="1" applyAlignment="1">
      <alignment horizontal="center" vertical="center"/>
    </xf>
    <xf numFmtId="169" fontId="34" fillId="4" borderId="2" xfId="0" applyNumberFormat="1" applyFont="1" applyFill="1" applyBorder="1" applyAlignment="1">
      <alignment horizontal="center" vertical="center"/>
    </xf>
    <xf numFmtId="169" fontId="34" fillId="4" borderId="94" xfId="0" applyNumberFormat="1" applyFont="1" applyFill="1" applyBorder="1" applyAlignment="1">
      <alignment horizontal="center" vertical="center"/>
    </xf>
    <xf numFmtId="0" fontId="45" fillId="9" borderId="46" xfId="0" applyFont="1" applyFill="1" applyBorder="1" applyAlignment="1">
      <alignment horizontal="center" vertical="center" wrapText="1"/>
    </xf>
    <xf numFmtId="0" fontId="58" fillId="9" borderId="95" xfId="0" applyFont="1" applyFill="1" applyBorder="1" applyAlignment="1">
      <alignment horizontal="center" vertical="center" wrapText="1"/>
    </xf>
    <xf numFmtId="0" fontId="58" fillId="9" borderId="0" xfId="0" applyFont="1" applyFill="1" applyBorder="1" applyAlignment="1">
      <alignment horizontal="center" vertical="center" wrapText="1"/>
    </xf>
    <xf numFmtId="0" fontId="45" fillId="9" borderId="96" xfId="0" applyFont="1" applyFill="1" applyBorder="1" applyAlignment="1">
      <alignment horizontal="center" vertical="center" wrapText="1"/>
    </xf>
    <xf numFmtId="0" fontId="45" fillId="9" borderId="45" xfId="0" applyFont="1" applyFill="1" applyBorder="1" applyAlignment="1">
      <alignment horizontal="center" vertical="center"/>
    </xf>
    <xf numFmtId="0" fontId="45" fillId="9" borderId="97" xfId="0" applyFont="1" applyFill="1" applyBorder="1" applyAlignment="1">
      <alignment horizontal="center" vertical="center"/>
    </xf>
    <xf numFmtId="0" fontId="45" fillId="9" borderId="64" xfId="0" applyFont="1" applyFill="1" applyBorder="1" applyAlignment="1">
      <alignment horizontal="center" vertical="center"/>
    </xf>
    <xf numFmtId="0" fontId="45" fillId="9" borderId="59" xfId="0" applyFont="1" applyFill="1" applyBorder="1" applyAlignment="1">
      <alignment horizontal="center" vertical="center" wrapText="1"/>
    </xf>
    <xf numFmtId="169" fontId="34" fillId="4" borderId="60" xfId="0" applyNumberFormat="1" applyFont="1" applyFill="1" applyBorder="1" applyAlignment="1">
      <alignment horizontal="center" vertical="center"/>
    </xf>
    <xf numFmtId="169" fontId="34" fillId="4" borderId="61" xfId="0" applyNumberFormat="1" applyFont="1" applyFill="1" applyBorder="1" applyAlignment="1">
      <alignment horizontal="center" vertical="center"/>
    </xf>
    <xf numFmtId="0" fontId="45" fillId="9" borderId="64" xfId="0" applyFont="1" applyFill="1" applyBorder="1" applyAlignment="1">
      <alignment horizontal="center" vertical="center" wrapText="1"/>
    </xf>
    <xf numFmtId="169" fontId="34" fillId="4" borderId="98" xfId="0" applyNumberFormat="1" applyFont="1" applyFill="1" applyBorder="1" applyAlignment="1">
      <alignment horizontal="center" vertical="center"/>
    </xf>
    <xf numFmtId="0" fontId="45" fillId="9" borderId="91" xfId="0" applyFont="1" applyFill="1" applyBorder="1" applyAlignment="1">
      <alignment horizontal="center" vertical="center" wrapText="1"/>
    </xf>
    <xf numFmtId="0" fontId="45" fillId="9" borderId="90" xfId="0" applyFont="1" applyFill="1" applyBorder="1" applyAlignment="1">
      <alignment horizontal="center" vertical="center" wrapText="1"/>
    </xf>
    <xf numFmtId="169" fontId="23" fillId="4" borderId="21" xfId="0" applyNumberFormat="1" applyFont="1" applyFill="1" applyBorder="1" applyAlignment="1">
      <alignment horizontal="center" vertical="center"/>
    </xf>
    <xf numFmtId="169" fontId="23" fillId="4" borderId="7" xfId="0" applyNumberFormat="1" applyFont="1" applyFill="1" applyBorder="1" applyAlignment="1">
      <alignment horizontal="center" vertical="center"/>
    </xf>
    <xf numFmtId="0" fontId="45" fillId="9" borderId="90" xfId="0" applyFont="1" applyFill="1" applyBorder="1" applyAlignment="1">
      <alignment horizontal="left" vertical="center" indent="1"/>
    </xf>
    <xf numFmtId="0" fontId="45" fillId="9" borderId="56" xfId="0" applyFont="1" applyFill="1" applyBorder="1" applyAlignment="1">
      <alignment horizontal="left" vertical="center" indent="1"/>
    </xf>
    <xf numFmtId="169" fontId="57" fillId="13" borderId="18" xfId="0" applyNumberFormat="1" applyFont="1" applyFill="1" applyBorder="1" applyAlignment="1">
      <alignment horizontal="center" vertical="center"/>
    </xf>
    <xf numFmtId="169" fontId="57" fillId="13" borderId="11" xfId="0" applyNumberFormat="1" applyFont="1" applyFill="1" applyBorder="1" applyAlignment="1">
      <alignment horizontal="center" vertical="center"/>
    </xf>
    <xf numFmtId="0" fontId="19" fillId="4" borderId="18" xfId="0" applyFont="1" applyFill="1" applyBorder="1" applyAlignment="1">
      <alignment horizontal="center" vertical="center"/>
    </xf>
    <xf numFmtId="6" fontId="19" fillId="4" borderId="22" xfId="0" applyNumberFormat="1" applyFont="1" applyFill="1" applyBorder="1" applyAlignment="1">
      <alignment horizontal="center" vertical="center"/>
    </xf>
    <xf numFmtId="6" fontId="19" fillId="4" borderId="33" xfId="0" applyNumberFormat="1" applyFont="1" applyFill="1" applyBorder="1" applyAlignment="1">
      <alignment horizontal="center" vertical="center"/>
    </xf>
    <xf numFmtId="169" fontId="23" fillId="4" borderId="31" xfId="0" applyNumberFormat="1" applyFont="1" applyFill="1" applyBorder="1" applyAlignment="1">
      <alignment horizontal="center" vertical="center"/>
    </xf>
    <xf numFmtId="169" fontId="23" fillId="4" borderId="12" xfId="0" applyNumberFormat="1" applyFont="1" applyFill="1" applyBorder="1" applyAlignment="1">
      <alignment horizontal="center" vertical="center"/>
    </xf>
    <xf numFmtId="169" fontId="23" fillId="4" borderId="33" xfId="0" applyNumberFormat="1" applyFont="1" applyFill="1" applyBorder="1" applyAlignment="1">
      <alignment horizontal="center" vertical="center"/>
    </xf>
    <xf numFmtId="169" fontId="23" fillId="4" borderId="13" xfId="0" applyNumberFormat="1" applyFont="1" applyFill="1" applyBorder="1" applyAlignment="1">
      <alignment horizontal="center" vertical="center"/>
    </xf>
    <xf numFmtId="0" fontId="45" fillId="9" borderId="66" xfId="0" applyFont="1" applyFill="1" applyBorder="1" applyAlignment="1">
      <alignment horizontal="center" vertical="center" wrapText="1"/>
    </xf>
    <xf numFmtId="169" fontId="34" fillId="4" borderId="50" xfId="0" applyNumberFormat="1" applyFont="1" applyFill="1" applyBorder="1" applyAlignment="1">
      <alignment horizontal="center" vertical="center"/>
    </xf>
    <xf numFmtId="169" fontId="34" fillId="4" borderId="114" xfId="0" applyNumberFormat="1" applyFont="1" applyFill="1" applyBorder="1" applyAlignment="1">
      <alignment horizontal="center" vertical="center"/>
    </xf>
    <xf numFmtId="169" fontId="34" fillId="13" borderId="17" xfId="0" applyNumberFormat="1" applyFont="1" applyFill="1" applyBorder="1" applyAlignment="1">
      <alignment horizontal="center" vertical="center"/>
    </xf>
    <xf numFmtId="0" fontId="45" fillId="9" borderId="105" xfId="0" applyFont="1" applyFill="1" applyBorder="1" applyAlignment="1">
      <alignment horizontal="center" vertical="center" wrapText="1"/>
    </xf>
    <xf numFmtId="0" fontId="45" fillId="15" borderId="2" xfId="0" applyFont="1" applyFill="1" applyBorder="1" applyAlignment="1">
      <alignment horizontal="left" vertical="center" indent="1"/>
    </xf>
    <xf numFmtId="0" fontId="45" fillId="15" borderId="0" xfId="0" applyFont="1" applyFill="1" applyBorder="1" applyAlignment="1">
      <alignment horizontal="left" vertical="center" indent="1"/>
    </xf>
    <xf numFmtId="0" fontId="45" fillId="15" borderId="100" xfId="0" applyFont="1" applyFill="1" applyBorder="1" applyAlignment="1">
      <alignment horizontal="left" vertical="center" indent="1"/>
    </xf>
    <xf numFmtId="0" fontId="45" fillId="15" borderId="1" xfId="0" applyFont="1" applyFill="1" applyBorder="1" applyAlignment="1">
      <alignment horizontal="center" vertical="center"/>
    </xf>
    <xf numFmtId="0" fontId="45" fillId="15" borderId="101" xfId="0" applyFont="1" applyFill="1" applyBorder="1" applyAlignment="1">
      <alignment horizontal="center" vertical="center"/>
    </xf>
    <xf numFmtId="0" fontId="45" fillId="15" borderId="0" xfId="8" applyFont="1" applyFill="1" applyBorder="1" applyAlignment="1">
      <alignment horizontal="center" vertical="center" wrapText="1"/>
    </xf>
    <xf numFmtId="0" fontId="45" fillId="15" borderId="38" xfId="8" applyFont="1" applyFill="1" applyBorder="1" applyAlignment="1">
      <alignment horizontal="center" vertical="center" wrapText="1"/>
    </xf>
    <xf numFmtId="169" fontId="19" fillId="4" borderId="32" xfId="31" applyNumberFormat="1" applyFont="1" applyFill="1" applyBorder="1" applyAlignment="1">
      <alignment horizontal="center" vertical="center"/>
    </xf>
    <xf numFmtId="169" fontId="19" fillId="4" borderId="29" xfId="31" applyNumberFormat="1" applyFont="1" applyFill="1" applyBorder="1" applyAlignment="1">
      <alignment horizontal="center" vertical="center"/>
    </xf>
    <xf numFmtId="169" fontId="19" fillId="4" borderId="25" xfId="31" applyNumberFormat="1" applyFont="1" applyFill="1" applyBorder="1" applyAlignment="1">
      <alignment horizontal="center" vertical="center"/>
    </xf>
    <xf numFmtId="0" fontId="45" fillId="15" borderId="102" xfId="0" applyFont="1" applyFill="1" applyBorder="1" applyAlignment="1">
      <alignment horizontal="center" vertical="center"/>
    </xf>
    <xf numFmtId="0" fontId="45" fillId="15" borderId="38" xfId="0" applyFont="1" applyFill="1" applyBorder="1" applyAlignment="1">
      <alignment horizontal="center" vertical="center"/>
    </xf>
    <xf numFmtId="0" fontId="45" fillId="15" borderId="103" xfId="0" applyFont="1" applyFill="1" applyBorder="1" applyAlignment="1">
      <alignment horizontal="center" vertical="center"/>
    </xf>
    <xf numFmtId="0" fontId="45" fillId="15" borderId="90" xfId="0" applyFont="1" applyFill="1" applyBorder="1" applyAlignment="1">
      <alignment horizontal="center" vertical="center" wrapText="1"/>
    </xf>
    <xf numFmtId="0" fontId="45" fillId="15" borderId="0" xfId="0" applyFont="1" applyFill="1" applyBorder="1" applyAlignment="1">
      <alignment horizontal="center" vertical="center" wrapText="1"/>
    </xf>
    <xf numFmtId="165" fontId="19" fillId="4" borderId="75" xfId="0" applyNumberFormat="1" applyFont="1" applyFill="1" applyBorder="1" applyAlignment="1">
      <alignment horizontal="center" vertical="center"/>
    </xf>
    <xf numFmtId="165" fontId="19" fillId="4" borderId="16" xfId="0" applyNumberFormat="1" applyFont="1" applyFill="1" applyBorder="1" applyAlignment="1">
      <alignment horizontal="center" vertical="center"/>
    </xf>
    <xf numFmtId="165" fontId="19" fillId="4" borderId="10" xfId="0" applyNumberFormat="1" applyFont="1" applyFill="1" applyBorder="1" applyAlignment="1">
      <alignment horizontal="center" vertical="center"/>
    </xf>
    <xf numFmtId="165" fontId="19" fillId="4" borderId="20" xfId="0" applyNumberFormat="1" applyFont="1" applyFill="1" applyBorder="1" applyAlignment="1">
      <alignment horizontal="center" vertical="center"/>
    </xf>
    <xf numFmtId="0" fontId="47" fillId="4" borderId="0" xfId="0" applyFont="1" applyFill="1" applyBorder="1" applyAlignment="1">
      <alignment horizontal="left" vertical="center" wrapText="1"/>
    </xf>
    <xf numFmtId="3" fontId="16" fillId="12" borderId="19" xfId="0" applyNumberFormat="1" applyFont="1" applyFill="1" applyBorder="1" applyAlignment="1">
      <alignment horizontal="center" vertical="center"/>
    </xf>
    <xf numFmtId="3" fontId="16" fillId="12" borderId="30" xfId="0" applyNumberFormat="1" applyFont="1" applyFill="1" applyBorder="1" applyAlignment="1">
      <alignment horizontal="center" vertical="center"/>
    </xf>
    <xf numFmtId="0" fontId="34" fillId="4" borderId="22" xfId="0" applyFont="1" applyFill="1" applyBorder="1" applyAlignment="1">
      <alignment horizontal="center" vertical="center"/>
    </xf>
    <xf numFmtId="0" fontId="34" fillId="4" borderId="33" xfId="0" applyFont="1" applyFill="1" applyBorder="1" applyAlignment="1">
      <alignment horizontal="center" vertical="center"/>
    </xf>
    <xf numFmtId="0" fontId="34" fillId="4" borderId="13" xfId="0" applyFont="1" applyFill="1" applyBorder="1" applyAlignment="1">
      <alignment horizontal="center" vertical="center"/>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0" fontId="19" fillId="4" borderId="19" xfId="0" applyFont="1" applyFill="1" applyBorder="1" applyAlignment="1">
      <alignment horizontal="left" vertical="center" indent="1"/>
    </xf>
    <xf numFmtId="0" fontId="19" fillId="4" borderId="30" xfId="0" applyFont="1" applyFill="1" applyBorder="1" applyAlignment="1">
      <alignment horizontal="left" vertical="center" indent="1"/>
    </xf>
    <xf numFmtId="0" fontId="19" fillId="4" borderId="22"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32"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45" fillId="9" borderId="0" xfId="0" applyFont="1" applyFill="1" applyBorder="1" applyAlignment="1">
      <alignment horizontal="center"/>
    </xf>
    <xf numFmtId="0" fontId="45" fillId="9" borderId="38" xfId="0" applyFont="1" applyFill="1" applyBorder="1" applyAlignment="1">
      <alignment horizontal="center"/>
    </xf>
    <xf numFmtId="0" fontId="34" fillId="4" borderId="32" xfId="0" applyFont="1" applyFill="1" applyBorder="1" applyAlignment="1">
      <alignment horizontal="left" vertical="center" indent="1"/>
    </xf>
    <xf numFmtId="0" fontId="34" fillId="4" borderId="25" xfId="0" applyFont="1" applyFill="1" applyBorder="1" applyAlignment="1">
      <alignment horizontal="left" vertical="center" indent="1"/>
    </xf>
    <xf numFmtId="0" fontId="45" fillId="9" borderId="66" xfId="0" applyFont="1" applyFill="1" applyBorder="1" applyAlignment="1">
      <alignment horizontal="center" vertical="center"/>
    </xf>
    <xf numFmtId="0" fontId="63" fillId="9" borderId="105" xfId="0" applyFont="1" applyFill="1" applyBorder="1" applyAlignment="1">
      <alignment horizontal="center" vertical="center"/>
    </xf>
    <xf numFmtId="0" fontId="63" fillId="9" borderId="66" xfId="0"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2" xfId="0" applyNumberFormat="1" applyFont="1" applyFill="1" applyBorder="1" applyAlignment="1">
      <alignment horizontal="center" vertical="center"/>
    </xf>
    <xf numFmtId="49" fontId="19" fillId="4" borderId="50" xfId="0" applyNumberFormat="1" applyFont="1" applyFill="1" applyBorder="1" applyAlignment="1">
      <alignment horizontal="center" vertical="center"/>
    </xf>
    <xf numFmtId="49" fontId="34" fillId="4" borderId="32" xfId="0" applyNumberFormat="1" applyFont="1" applyFill="1" applyBorder="1" applyAlignment="1">
      <alignment horizontal="center" vertical="center"/>
    </xf>
    <xf numFmtId="49" fontId="34" fillId="4" borderId="29" xfId="0" applyNumberFormat="1" applyFont="1" applyFill="1" applyBorder="1" applyAlignment="1">
      <alignment horizontal="center" vertical="center"/>
    </xf>
    <xf numFmtId="49" fontId="34" fillId="4" borderId="104" xfId="0" applyNumberFormat="1" applyFont="1" applyFill="1" applyBorder="1" applyAlignment="1">
      <alignment horizontal="center" vertical="center"/>
    </xf>
    <xf numFmtId="0" fontId="63" fillId="4" borderId="90" xfId="0" applyFont="1" applyFill="1" applyBorder="1" applyAlignment="1">
      <alignment horizontal="center" vertical="center"/>
    </xf>
    <xf numFmtId="0" fontId="63" fillId="4" borderId="0" xfId="0" applyFont="1" applyFill="1" applyBorder="1" applyAlignment="1">
      <alignment horizontal="center" vertical="center"/>
    </xf>
    <xf numFmtId="0" fontId="45" fillId="15" borderId="38" xfId="0" applyFont="1" applyFill="1" applyBorder="1" applyAlignment="1">
      <alignment horizontal="center" vertical="center" wrapText="1"/>
    </xf>
    <xf numFmtId="0" fontId="45" fillId="15" borderId="105" xfId="0" applyFont="1" applyFill="1" applyBorder="1" applyAlignment="1">
      <alignment horizontal="center" vertical="center" wrapText="1"/>
    </xf>
    <xf numFmtId="0" fontId="45" fillId="4" borderId="0" xfId="0" applyFont="1" applyFill="1" applyBorder="1" applyAlignment="1">
      <alignment horizontal="center" vertical="center" wrapText="1"/>
    </xf>
    <xf numFmtId="169" fontId="47" fillId="4" borderId="18" xfId="0" applyNumberFormat="1" applyFont="1" applyFill="1" applyBorder="1" applyAlignment="1">
      <alignment horizontal="center" vertical="center" wrapText="1"/>
    </xf>
    <xf numFmtId="169" fontId="47" fillId="4" borderId="11" xfId="0" applyNumberFormat="1" applyFont="1" applyFill="1" applyBorder="1" applyAlignment="1">
      <alignment horizontal="center" vertical="center" wrapText="1"/>
    </xf>
    <xf numFmtId="0" fontId="2" fillId="4" borderId="0" xfId="0" applyNumberFormat="1" applyFont="1" applyFill="1" applyBorder="1" applyAlignment="1">
      <alignment horizontal="left" vertical="center" wrapText="1"/>
    </xf>
    <xf numFmtId="0" fontId="34" fillId="4" borderId="4" xfId="0" applyFont="1" applyFill="1" applyBorder="1" applyAlignment="1">
      <alignment horizontal="left" vertical="center" indent="1"/>
    </xf>
    <xf numFmtId="0" fontId="34" fillId="4" borderId="9" xfId="0" applyFont="1" applyFill="1" applyBorder="1" applyAlignment="1">
      <alignment horizontal="left" vertical="center" indent="1"/>
    </xf>
    <xf numFmtId="0" fontId="3" fillId="4" borderId="0" xfId="0" applyNumberFormat="1" applyFont="1" applyFill="1" applyBorder="1" applyAlignment="1">
      <alignment horizontal="left" vertical="center" wrapText="1"/>
    </xf>
    <xf numFmtId="0" fontId="34" fillId="4" borderId="3" xfId="0" applyFont="1" applyFill="1" applyBorder="1" applyAlignment="1">
      <alignment horizontal="left" vertical="center" indent="1"/>
    </xf>
    <xf numFmtId="0" fontId="34" fillId="4" borderId="1" xfId="0" applyFont="1" applyFill="1" applyBorder="1" applyAlignment="1">
      <alignment horizontal="left" vertical="center" indent="1"/>
    </xf>
    <xf numFmtId="0" fontId="34" fillId="4" borderId="8" xfId="0" applyFont="1" applyFill="1" applyBorder="1" applyAlignment="1">
      <alignment horizontal="left" vertical="center" indent="1"/>
    </xf>
    <xf numFmtId="0" fontId="19" fillId="3" borderId="0" xfId="0" applyNumberFormat="1" applyFont="1" applyFill="1" applyAlignment="1">
      <alignment horizontal="left" vertical="center" wrapText="1"/>
    </xf>
    <xf numFmtId="0" fontId="34" fillId="4" borderId="0" xfId="0" applyFont="1" applyFill="1" applyAlignment="1"/>
    <xf numFmtId="0" fontId="56" fillId="9" borderId="39" xfId="0" applyFont="1" applyFill="1" applyBorder="1" applyAlignment="1">
      <alignment horizontal="center" vertical="center" wrapText="1"/>
    </xf>
    <xf numFmtId="0" fontId="56" fillId="9" borderId="52" xfId="0" applyFont="1" applyFill="1" applyBorder="1" applyAlignment="1">
      <alignment horizontal="center" vertical="center" wrapText="1"/>
    </xf>
    <xf numFmtId="0" fontId="19" fillId="0" borderId="32" xfId="0" applyFont="1" applyBorder="1" applyAlignment="1">
      <alignment horizontal="left" vertical="center" wrapText="1" indent="1"/>
    </xf>
    <xf numFmtId="0" fontId="19" fillId="0" borderId="25" xfId="0" applyFont="1" applyBorder="1" applyAlignment="1">
      <alignment horizontal="left" vertical="center" wrapText="1" indent="1"/>
    </xf>
    <xf numFmtId="0" fontId="19" fillId="0" borderId="32" xfId="0" applyFont="1" applyBorder="1" applyAlignment="1">
      <alignment horizontal="left" vertical="top" wrapText="1" indent="1"/>
    </xf>
    <xf numFmtId="0" fontId="19" fillId="0" borderId="25" xfId="0" applyFont="1" applyBorder="1" applyAlignment="1">
      <alignment horizontal="left" vertical="top" wrapText="1" indent="1"/>
    </xf>
    <xf numFmtId="0" fontId="19" fillId="0" borderId="32" xfId="0" applyFont="1" applyBorder="1" applyAlignment="1">
      <alignment horizontal="left" vertical="center" indent="1"/>
    </xf>
    <xf numFmtId="0" fontId="19" fillId="0" borderId="25" xfId="0" applyFont="1" applyBorder="1" applyAlignment="1">
      <alignment horizontal="left" vertical="center" indent="1"/>
    </xf>
    <xf numFmtId="0" fontId="19" fillId="0" borderId="106" xfId="0" applyFont="1" applyBorder="1" applyAlignment="1">
      <alignment horizontal="left" vertical="top" wrapText="1" indent="1"/>
    </xf>
    <xf numFmtId="0" fontId="19" fillId="0" borderId="107" xfId="0" applyFont="1" applyBorder="1" applyAlignment="1">
      <alignment horizontal="left" vertical="top" wrapText="1" indent="1"/>
    </xf>
    <xf numFmtId="0" fontId="19" fillId="0" borderId="36" xfId="0" applyFont="1" applyBorder="1" applyAlignment="1">
      <alignment horizontal="left" vertical="center" wrapText="1" indent="1"/>
    </xf>
    <xf numFmtId="0" fontId="19" fillId="0" borderId="37" xfId="0" applyFont="1" applyBorder="1" applyAlignment="1">
      <alignment horizontal="left" vertical="center" wrapText="1" indent="1"/>
    </xf>
    <xf numFmtId="0" fontId="19" fillId="0" borderId="106" xfId="0" applyFont="1" applyBorder="1" applyAlignment="1">
      <alignment horizontal="left" vertical="center" indent="1"/>
    </xf>
    <xf numFmtId="0" fontId="19" fillId="0" borderId="107" xfId="0" applyFont="1" applyBorder="1" applyAlignment="1">
      <alignment horizontal="left" vertical="center" indent="1"/>
    </xf>
    <xf numFmtId="0" fontId="56" fillId="9" borderId="0" xfId="0" applyFont="1" applyFill="1" applyBorder="1" applyAlignment="1">
      <alignment horizontal="center" vertical="center"/>
    </xf>
    <xf numFmtId="0" fontId="56" fillId="9" borderId="38" xfId="0" applyFont="1" applyFill="1" applyBorder="1" applyAlignment="1">
      <alignment horizontal="center" vertical="center"/>
    </xf>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cellStyle name="Dziesiętny 2 2" xfId="3"/>
    <cellStyle name="Dziesiętny 3" xfId="4"/>
    <cellStyle name="Hiperłącze" xfId="5" builtinId="8"/>
    <cellStyle name="Hiperłącze 2" xfId="6"/>
    <cellStyle name="Normalny" xfId="0" builtinId="0"/>
    <cellStyle name="Normalny 10" xfId="7"/>
    <cellStyle name="Normalny 10 2" xfId="8"/>
    <cellStyle name="Normalny 11" xfId="9"/>
    <cellStyle name="Normalny 12" xfId="10"/>
    <cellStyle name="Normalny 13" xfId="11"/>
    <cellStyle name="Normalny 2" xfId="12"/>
    <cellStyle name="Normalny 3" xfId="13"/>
    <cellStyle name="Normalny 3 2" xfId="14"/>
    <cellStyle name="Normalny 4" xfId="15"/>
    <cellStyle name="Normalny 4 2" xfId="16"/>
    <cellStyle name="Normalny 5" xfId="17"/>
    <cellStyle name="Normalny 5 2" xfId="18"/>
    <cellStyle name="Normalny 5 2 2" xfId="19"/>
    <cellStyle name="Normalny 5 3" xfId="20"/>
    <cellStyle name="Normalny 6" xfId="21"/>
    <cellStyle name="Normalny 6 2" xfId="22"/>
    <cellStyle name="Normalny 7" xfId="23"/>
    <cellStyle name="Normalny 7 2" xfId="24"/>
    <cellStyle name="Normalny 7 2 2" xfId="25"/>
    <cellStyle name="Normalny 7 3" xfId="26"/>
    <cellStyle name="Normalny 8" xfId="27"/>
    <cellStyle name="Normalny 8 2" xfId="28"/>
    <cellStyle name="Normalny 9" xfId="29"/>
    <cellStyle name="Normalny 9 2" xfId="30"/>
    <cellStyle name="Procentowy" xfId="31" builtinId="5"/>
    <cellStyle name="Procentowy 2" xfId="32"/>
    <cellStyle name="Procentowy 2 2" xfId="33"/>
    <cellStyle name="Procentowy 3" xfId="34"/>
    <cellStyle name="Walutowy" xfId="35" builtinId="4"/>
    <cellStyle name="Walutowy 2" xfId="36"/>
    <cellStyle name="Walutowy 2 2" xfId="37"/>
    <cellStyle name="Walutowy 3" xfId="3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8.jpe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7.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4.png"/><Relationship Id="rId1" Type="http://schemas.openxmlformats.org/officeDocument/2006/relationships/image" Target="../media/image13.png"/><Relationship Id="rId4" Type="http://schemas.openxmlformats.org/officeDocument/2006/relationships/image" Target="../media/image15.png"/></Relationships>
</file>

<file path=xl/drawings/_rels/drawing8.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2.png"/><Relationship Id="rId1" Type="http://schemas.openxmlformats.org/officeDocument/2006/relationships/image" Target="../media/image16.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 xmlns:a16="http://schemas.microsoft.com/office/drawing/2014/main"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7</xdr:col>
      <xdr:colOff>400050</xdr:colOff>
      <xdr:row>3</xdr:row>
      <xdr:rowOff>0</xdr:rowOff>
    </xdr:from>
    <xdr:to>
      <xdr:col>7</xdr:col>
      <xdr:colOff>666750</xdr:colOff>
      <xdr:row>4</xdr:row>
      <xdr:rowOff>0</xdr:rowOff>
    </xdr:to>
    <xdr:pic>
      <xdr:nvPicPr>
        <xdr:cNvPr id="1078209" name="Obraz 7" descr="Znalezione obrazy dla zapytania flaga pl wikipedia">
          <a:extLst>
            <a:ext uri="{FF2B5EF4-FFF2-40B4-BE49-F238E27FC236}">
              <a16:creationId xmlns=""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7375"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695325</xdr:colOff>
      <xdr:row>3</xdr:row>
      <xdr:rowOff>0</xdr:rowOff>
    </xdr:from>
    <xdr:to>
      <xdr:col>7</xdr:col>
      <xdr:colOff>1000125</xdr:colOff>
      <xdr:row>4</xdr:row>
      <xdr:rowOff>0</xdr:rowOff>
    </xdr:to>
    <xdr:pic>
      <xdr:nvPicPr>
        <xdr:cNvPr id="1078210" name="Obraz 8">
          <a:extLst>
            <a:ext uri="{FF2B5EF4-FFF2-40B4-BE49-F238E27FC236}">
              <a16:creationId xmlns="" xmlns:a16="http://schemas.microsoft.com/office/drawing/2014/main"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726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7</xdr:row>
          <xdr:rowOff>9525</xdr:rowOff>
        </xdr:from>
        <xdr:to>
          <xdr:col>4</xdr:col>
          <xdr:colOff>28575</xdr:colOff>
          <xdr:row>7</xdr:row>
          <xdr:rowOff>295275</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 xmlns:a16="http://schemas.microsoft.com/office/drawing/2014/main"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7</xdr:row>
      <xdr:rowOff>41275</xdr:rowOff>
    </xdr:from>
    <xdr:to>
      <xdr:col>2</xdr:col>
      <xdr:colOff>549315</xdr:colOff>
      <xdr:row>9</xdr:row>
      <xdr:rowOff>508130</xdr:rowOff>
    </xdr:to>
    <xdr:pic>
      <xdr:nvPicPr>
        <xdr:cNvPr id="963985" name="Picture 2">
          <a:extLst>
            <a:ext uri="{FF2B5EF4-FFF2-40B4-BE49-F238E27FC236}">
              <a16:creationId xmlns="" xmlns:a16="http://schemas.microsoft.com/office/drawing/2014/main" id="{00000000-0008-0000-0900-000091B50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2900" y="1381125"/>
          <a:ext cx="1377863" cy="86046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142875</xdr:rowOff>
    </xdr:from>
    <xdr:to>
      <xdr:col>2</xdr:col>
      <xdr:colOff>104775</xdr:colOff>
      <xdr:row>36</xdr:row>
      <xdr:rowOff>104775</xdr:rowOff>
    </xdr:to>
    <xdr:pic>
      <xdr:nvPicPr>
        <xdr:cNvPr id="1083540" name="Obraz 14" descr="1.png">
          <a:extLst>
            <a:ext uri="{FF2B5EF4-FFF2-40B4-BE49-F238E27FC236}">
              <a16:creationId xmlns=""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53</xdr:row>
      <xdr:rowOff>9525</xdr:rowOff>
    </xdr:from>
    <xdr:to>
      <xdr:col>2</xdr:col>
      <xdr:colOff>885825</xdr:colOff>
      <xdr:row>55</xdr:row>
      <xdr:rowOff>85725</xdr:rowOff>
    </xdr:to>
    <xdr:pic>
      <xdr:nvPicPr>
        <xdr:cNvPr id="1083541" name="Picture 2" descr="image003">
          <a:extLst>
            <a:ext uri="{FF2B5EF4-FFF2-40B4-BE49-F238E27FC236}">
              <a16:creationId xmlns=""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 xmlns:a16="http://schemas.microsoft.com/office/drawing/2014/main"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92</xdr:row>
      <xdr:rowOff>0</xdr:rowOff>
    </xdr:from>
    <xdr:to>
      <xdr:col>2</xdr:col>
      <xdr:colOff>104775</xdr:colOff>
      <xdr:row>93</xdr:row>
      <xdr:rowOff>28575</xdr:rowOff>
    </xdr:to>
    <xdr:pic>
      <xdr:nvPicPr>
        <xdr:cNvPr id="1083543" name="Obraz 15" descr="http://a.wpimg.pl/a/i/stg/550/wpw.png">
          <a:extLst>
            <a:ext uri="{FF2B5EF4-FFF2-40B4-BE49-F238E27FC236}">
              <a16:creationId xmlns="" xmlns:a16="http://schemas.microsoft.com/office/drawing/2014/main" id="{00000000-0008-0000-0100-000097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76200</xdr:rowOff>
    </xdr:from>
    <xdr:to>
      <xdr:col>2</xdr:col>
      <xdr:colOff>704850</xdr:colOff>
      <xdr:row>65</xdr:row>
      <xdr:rowOff>76200</xdr:rowOff>
    </xdr:to>
    <xdr:pic>
      <xdr:nvPicPr>
        <xdr:cNvPr id="1083544" name="Obraz 2">
          <a:extLst>
            <a:ext uri="{FF2B5EF4-FFF2-40B4-BE49-F238E27FC236}">
              <a16:creationId xmlns="" xmlns:a16="http://schemas.microsoft.com/office/drawing/2014/main" id="{00000000-0008-0000-0100-00009888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12706350"/>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73</xdr:row>
      <xdr:rowOff>76200</xdr:rowOff>
    </xdr:from>
    <xdr:to>
      <xdr:col>3</xdr:col>
      <xdr:colOff>200025</xdr:colOff>
      <xdr:row>75</xdr:row>
      <xdr:rowOff>85725</xdr:rowOff>
    </xdr:to>
    <xdr:pic>
      <xdr:nvPicPr>
        <xdr:cNvPr id="1083545" name="Obraz 2">
          <a:extLst>
            <a:ext uri="{FF2B5EF4-FFF2-40B4-BE49-F238E27FC236}">
              <a16:creationId xmlns="" xmlns:a16="http://schemas.microsoft.com/office/drawing/2014/main" id="{00000000-0008-0000-0100-000099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3</xdr:row>
      <xdr:rowOff>0</xdr:rowOff>
    </xdr:from>
    <xdr:to>
      <xdr:col>9</xdr:col>
      <xdr:colOff>552450</xdr:colOff>
      <xdr:row>4</xdr:row>
      <xdr:rowOff>0</xdr:rowOff>
    </xdr:to>
    <xdr:pic>
      <xdr:nvPicPr>
        <xdr:cNvPr id="1083546" name="Obraz 9" descr="Znalezione obrazy dla zapytania flaga pl wikipedia">
          <a:extLst>
            <a:ext uri="{FF2B5EF4-FFF2-40B4-BE49-F238E27FC236}">
              <a16:creationId xmlns="" xmlns:a16="http://schemas.microsoft.com/office/drawing/2014/main" id="{00000000-0008-0000-0100-00009A881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67850"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581025</xdr:colOff>
      <xdr:row>3</xdr:row>
      <xdr:rowOff>0</xdr:rowOff>
    </xdr:from>
    <xdr:to>
      <xdr:col>9</xdr:col>
      <xdr:colOff>904875</xdr:colOff>
      <xdr:row>4</xdr:row>
      <xdr:rowOff>0</xdr:rowOff>
    </xdr:to>
    <xdr:pic>
      <xdr:nvPicPr>
        <xdr:cNvPr id="1083547" name="Obraz 1">
          <a:extLst>
            <a:ext uri="{FF2B5EF4-FFF2-40B4-BE49-F238E27FC236}">
              <a16:creationId xmlns="" xmlns:a16="http://schemas.microsoft.com/office/drawing/2014/main" id="{00000000-0008-0000-0100-00009B881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63125" y="485775"/>
          <a:ext cx="3238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8"/>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83</xdr:row>
      <xdr:rowOff>76200</xdr:rowOff>
    </xdr:from>
    <xdr:to>
      <xdr:col>3</xdr:col>
      <xdr:colOff>257175</xdr:colOff>
      <xdr:row>85</xdr:row>
      <xdr:rowOff>85725</xdr:rowOff>
    </xdr:to>
    <xdr:pic>
      <xdr:nvPicPr>
        <xdr:cNvPr id="1083549" name="Obraz 1">
          <a:extLst>
            <a:ext uri="{FF2B5EF4-FFF2-40B4-BE49-F238E27FC236}">
              <a16:creationId xmlns="" xmlns:a16="http://schemas.microsoft.com/office/drawing/2014/main" id="{00000000-0008-0000-0100-00009D881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11</xdr:col>
      <xdr:colOff>409575</xdr:colOff>
      <xdr:row>3</xdr:row>
      <xdr:rowOff>0</xdr:rowOff>
    </xdr:from>
    <xdr:to>
      <xdr:col>11</xdr:col>
      <xdr:colOff>676275</xdr:colOff>
      <xdr:row>4</xdr:row>
      <xdr:rowOff>0</xdr:rowOff>
    </xdr:to>
    <xdr:pic>
      <xdr:nvPicPr>
        <xdr:cNvPr id="1082443" name="Obraz 9" descr="Znalezione obrazy dla zapytania flaga pl wikipedia">
          <a:extLst>
            <a:ext uri="{FF2B5EF4-FFF2-40B4-BE49-F238E27FC236}">
              <a16:creationId xmlns="" xmlns:a16="http://schemas.microsoft.com/office/drawing/2014/main" id="{00000000-0008-0000-0200-00004B84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2475"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xdr:colOff>
      <xdr:row>3</xdr:row>
      <xdr:rowOff>9525</xdr:rowOff>
    </xdr:from>
    <xdr:to>
      <xdr:col>12</xdr:col>
      <xdr:colOff>361950</xdr:colOff>
      <xdr:row>4</xdr:row>
      <xdr:rowOff>9525</xdr:rowOff>
    </xdr:to>
    <xdr:pic>
      <xdr:nvPicPr>
        <xdr:cNvPr id="1082444" name="Obraz 1">
          <a:extLst>
            <a:ext uri="{FF2B5EF4-FFF2-40B4-BE49-F238E27FC236}">
              <a16:creationId xmlns="" xmlns:a16="http://schemas.microsoft.com/office/drawing/2014/main" id="{00000000-0008-0000-0200-00004C84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7750" y="495300"/>
          <a:ext cx="3238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809625</xdr:colOff>
      <xdr:row>3</xdr:row>
      <xdr:rowOff>0</xdr:rowOff>
    </xdr:from>
    <xdr:to>
      <xdr:col>7</xdr:col>
      <xdr:colOff>1076325</xdr:colOff>
      <xdr:row>4</xdr:row>
      <xdr:rowOff>0</xdr:rowOff>
    </xdr:to>
    <xdr:pic>
      <xdr:nvPicPr>
        <xdr:cNvPr id="1075088" name="Obraz 8" descr="Znalezione obrazy dla zapytania flaga pl wikipedia">
          <a:extLst>
            <a:ext uri="{FF2B5EF4-FFF2-40B4-BE49-F238E27FC236}">
              <a16:creationId xmlns="" xmlns:a16="http://schemas.microsoft.com/office/drawing/2014/main" id="{00000000-0008-0000-0300-00009067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1114425</xdr:colOff>
      <xdr:row>3</xdr:row>
      <xdr:rowOff>0</xdr:rowOff>
    </xdr:from>
    <xdr:to>
      <xdr:col>7</xdr:col>
      <xdr:colOff>1419225</xdr:colOff>
      <xdr:row>4</xdr:row>
      <xdr:rowOff>0</xdr:rowOff>
    </xdr:to>
    <xdr:pic>
      <xdr:nvPicPr>
        <xdr:cNvPr id="1075089" name="Obraz 9">
          <a:extLst>
            <a:ext uri="{FF2B5EF4-FFF2-40B4-BE49-F238E27FC236}">
              <a16:creationId xmlns="" xmlns:a16="http://schemas.microsoft.com/office/drawing/2014/main" id="{00000000-0008-0000-0300-00009167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2505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1021901</xdr:colOff>
      <xdr:row>5</xdr:row>
      <xdr:rowOff>58486</xdr:rowOff>
    </xdr:to>
    <xdr:pic>
      <xdr:nvPicPr>
        <xdr:cNvPr id="7" name="Picture 2">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514350</xdr:colOff>
      <xdr:row>3</xdr:row>
      <xdr:rowOff>0</xdr:rowOff>
    </xdr:from>
    <xdr:to>
      <xdr:col>14</xdr:col>
      <xdr:colOff>104775</xdr:colOff>
      <xdr:row>4</xdr:row>
      <xdr:rowOff>0</xdr:rowOff>
    </xdr:to>
    <xdr:pic>
      <xdr:nvPicPr>
        <xdr:cNvPr id="1073114" name="Obraz 6" descr="Znalezione obrazy dla zapytania flaga pl wikipedia">
          <a:extLst>
            <a:ext uri="{FF2B5EF4-FFF2-40B4-BE49-F238E27FC236}">
              <a16:creationId xmlns="" xmlns:a16="http://schemas.microsoft.com/office/drawing/2014/main" id="{00000000-0008-0000-0500-0000DA5F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15600"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123825</xdr:colOff>
      <xdr:row>3</xdr:row>
      <xdr:rowOff>0</xdr:rowOff>
    </xdr:from>
    <xdr:to>
      <xdr:col>14</xdr:col>
      <xdr:colOff>428625</xdr:colOff>
      <xdr:row>4</xdr:row>
      <xdr:rowOff>0</xdr:rowOff>
    </xdr:to>
    <xdr:pic>
      <xdr:nvPicPr>
        <xdr:cNvPr id="1073115" name="Obraz 7">
          <a:extLst>
            <a:ext uri="{FF2B5EF4-FFF2-40B4-BE49-F238E27FC236}">
              <a16:creationId xmlns="" xmlns:a16="http://schemas.microsoft.com/office/drawing/2014/main" id="{00000000-0008-0000-0500-0000DB5F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10875"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342900</xdr:colOff>
      <xdr:row>3</xdr:row>
      <xdr:rowOff>0</xdr:rowOff>
    </xdr:from>
    <xdr:to>
      <xdr:col>11</xdr:col>
      <xdr:colOff>619125</xdr:colOff>
      <xdr:row>4</xdr:row>
      <xdr:rowOff>0</xdr:rowOff>
    </xdr:to>
    <xdr:pic>
      <xdr:nvPicPr>
        <xdr:cNvPr id="1075943" name="Obraz 3" descr="Znalezione obrazy dla zapytania flaga pl wikipedia">
          <a:extLst>
            <a:ext uri="{FF2B5EF4-FFF2-40B4-BE49-F238E27FC236}">
              <a16:creationId xmlns="" xmlns:a16="http://schemas.microsoft.com/office/drawing/2014/main" id="{00000000-0008-0000-0600-0000E76A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7525" y="485775"/>
          <a:ext cx="276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647700</xdr:colOff>
      <xdr:row>3</xdr:row>
      <xdr:rowOff>0</xdr:rowOff>
    </xdr:from>
    <xdr:to>
      <xdr:col>11</xdr:col>
      <xdr:colOff>971550</xdr:colOff>
      <xdr:row>4</xdr:row>
      <xdr:rowOff>0</xdr:rowOff>
    </xdr:to>
    <xdr:pic>
      <xdr:nvPicPr>
        <xdr:cNvPr id="1075944" name="Obraz 5">
          <a:extLst>
            <a:ext uri="{FF2B5EF4-FFF2-40B4-BE49-F238E27FC236}">
              <a16:creationId xmlns="" xmlns:a16="http://schemas.microsoft.com/office/drawing/2014/main" id="{00000000-0008-0000-0600-0000E86A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2325" y="485775"/>
          <a:ext cx="3238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409575</xdr:colOff>
      <xdr:row>3</xdr:row>
      <xdr:rowOff>0</xdr:rowOff>
    </xdr:from>
    <xdr:to>
      <xdr:col>6</xdr:col>
      <xdr:colOff>695325</xdr:colOff>
      <xdr:row>4</xdr:row>
      <xdr:rowOff>0</xdr:rowOff>
    </xdr:to>
    <xdr:pic>
      <xdr:nvPicPr>
        <xdr:cNvPr id="1080147" name="Obraz 3" descr="Znalezione obrazy dla zapytania flaga pl wikipedia">
          <a:extLst>
            <a:ext uri="{FF2B5EF4-FFF2-40B4-BE49-F238E27FC236}">
              <a16:creationId xmlns="" xmlns:a16="http://schemas.microsoft.com/office/drawing/2014/main" id="{00000000-0008-0000-0400-0000537B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485775"/>
          <a:ext cx="2857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714375</xdr:colOff>
      <xdr:row>3</xdr:row>
      <xdr:rowOff>0</xdr:rowOff>
    </xdr:from>
    <xdr:to>
      <xdr:col>6</xdr:col>
      <xdr:colOff>1028700</xdr:colOff>
      <xdr:row>4</xdr:row>
      <xdr:rowOff>0</xdr:rowOff>
    </xdr:to>
    <xdr:pic>
      <xdr:nvPicPr>
        <xdr:cNvPr id="1080148" name="Obraz 4">
          <a:extLst>
            <a:ext uri="{FF2B5EF4-FFF2-40B4-BE49-F238E27FC236}">
              <a16:creationId xmlns="" xmlns:a16="http://schemas.microsoft.com/office/drawing/2014/main" id="{00000000-0008-0000-0400-0000547B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4850" y="485775"/>
          <a:ext cx="314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1018819</xdr:colOff>
      <xdr:row>5</xdr:row>
      <xdr:rowOff>58486</xdr:rowOff>
    </xdr:to>
    <xdr:pic>
      <xdr:nvPicPr>
        <xdr:cNvPr id="6" name="Picture 2">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95250</xdr:colOff>
      <xdr:row>33</xdr:row>
      <xdr:rowOff>9525</xdr:rowOff>
    </xdr:from>
    <xdr:to>
      <xdr:col>1</xdr:col>
      <xdr:colOff>1095375</xdr:colOff>
      <xdr:row>34</xdr:row>
      <xdr:rowOff>0</xdr:rowOff>
    </xdr:to>
    <xdr:pic>
      <xdr:nvPicPr>
        <xdr:cNvPr id="1080150" name="Obraz 5">
          <a:extLst>
            <a:ext uri="{FF2B5EF4-FFF2-40B4-BE49-F238E27FC236}">
              <a16:creationId xmlns="" xmlns:a16="http://schemas.microsoft.com/office/drawing/2014/main" id="{00000000-0008-0000-0400-0000567B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0" y="6000750"/>
          <a:ext cx="1000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0</xdr:row>
      <xdr:rowOff>104775</xdr:rowOff>
    </xdr:from>
    <xdr:to>
      <xdr:col>1</xdr:col>
      <xdr:colOff>1219200</xdr:colOff>
      <xdr:row>3</xdr:row>
      <xdr:rowOff>133350</xdr:rowOff>
    </xdr:to>
    <xdr:pic>
      <xdr:nvPicPr>
        <xdr:cNvPr id="1076962" name="9C468C96-B929-4FE2-870E-0CA74E038113" descr="EAB04DB1-E208-4E81-BDA4-898C3251B9FD@waw">
          <a:extLst>
            <a:ext uri="{FF2B5EF4-FFF2-40B4-BE49-F238E27FC236}">
              <a16:creationId xmlns="" xmlns:a16="http://schemas.microsoft.com/office/drawing/2014/main" id="{00000000-0008-0000-0700-0000E26E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56914"/>
        <a:stretch>
          <a:fillRect/>
        </a:stretch>
      </xdr:blipFill>
      <xdr:spPr bwMode="auto">
        <a:xfrm>
          <a:off x="314325" y="104775"/>
          <a:ext cx="1285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619125</xdr:colOff>
      <xdr:row>3</xdr:row>
      <xdr:rowOff>0</xdr:rowOff>
    </xdr:from>
    <xdr:to>
      <xdr:col>16</xdr:col>
      <xdr:colOff>114300</xdr:colOff>
      <xdr:row>4</xdr:row>
      <xdr:rowOff>0</xdr:rowOff>
    </xdr:to>
    <xdr:pic>
      <xdr:nvPicPr>
        <xdr:cNvPr id="1076963" name="Obraz 3" descr="Znalezione obrazy dla zapytania flaga pl wikipedia">
          <a:extLst>
            <a:ext uri="{FF2B5EF4-FFF2-40B4-BE49-F238E27FC236}">
              <a16:creationId xmlns="" xmlns:a16="http://schemas.microsoft.com/office/drawing/2014/main" id="{00000000-0008-0000-0700-0000E36E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63725" y="4857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152400</xdr:colOff>
      <xdr:row>3</xdr:row>
      <xdr:rowOff>0</xdr:rowOff>
    </xdr:from>
    <xdr:to>
      <xdr:col>16</xdr:col>
      <xdr:colOff>466725</xdr:colOff>
      <xdr:row>4</xdr:row>
      <xdr:rowOff>0</xdr:rowOff>
    </xdr:to>
    <xdr:pic>
      <xdr:nvPicPr>
        <xdr:cNvPr id="1076964" name="Obraz 4">
          <a:extLst>
            <a:ext uri="{FF2B5EF4-FFF2-40B4-BE49-F238E27FC236}">
              <a16:creationId xmlns="" xmlns:a16="http://schemas.microsoft.com/office/drawing/2014/main" id="{00000000-0008-0000-0700-0000E46E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9000" y="485775"/>
          <a:ext cx="314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1031771</xdr:colOff>
      <xdr:row>5</xdr:row>
      <xdr:rowOff>53809</xdr:rowOff>
    </xdr:to>
    <xdr:pic>
      <xdr:nvPicPr>
        <xdr:cNvPr id="3" name="Picture 2">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700" cy="86343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3</xdr:col>
      <xdr:colOff>2047875</xdr:colOff>
      <xdr:row>3</xdr:row>
      <xdr:rowOff>0</xdr:rowOff>
    </xdr:from>
    <xdr:to>
      <xdr:col>3</xdr:col>
      <xdr:colOff>2305050</xdr:colOff>
      <xdr:row>4</xdr:row>
      <xdr:rowOff>0</xdr:rowOff>
    </xdr:to>
    <xdr:pic>
      <xdr:nvPicPr>
        <xdr:cNvPr id="1084446" name="Obraz 3" descr="Znalezione obrazy dla zapytania flaga pl wikipedia">
          <a:extLst>
            <a:ext uri="{FF2B5EF4-FFF2-40B4-BE49-F238E27FC236}">
              <a16:creationId xmlns="" xmlns:a16="http://schemas.microsoft.com/office/drawing/2014/main" id="{00000000-0008-0000-0800-00001E8C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15350" y="48577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2333625</xdr:colOff>
      <xdr:row>3</xdr:row>
      <xdr:rowOff>0</xdr:rowOff>
    </xdr:from>
    <xdr:to>
      <xdr:col>3</xdr:col>
      <xdr:colOff>2638425</xdr:colOff>
      <xdr:row>4</xdr:row>
      <xdr:rowOff>0</xdr:rowOff>
    </xdr:to>
    <xdr:pic>
      <xdr:nvPicPr>
        <xdr:cNvPr id="1084447" name="Obraz 4">
          <a:extLst>
            <a:ext uri="{FF2B5EF4-FFF2-40B4-BE49-F238E27FC236}">
              <a16:creationId xmlns="" xmlns:a16="http://schemas.microsoft.com/office/drawing/2014/main" id="{00000000-0008-0000-0800-00001F8C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01100" y="4857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reklama.wp.pl/kat,1039751,dokumenty.html" TargetMode="External"/><Relationship Id="rId1" Type="http://schemas.openxmlformats.org/officeDocument/2006/relationships/hyperlink" Target="http://reklama.wp.pl/kat,1039751,dokumen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39" customWidth="1"/>
    <col min="2" max="2" width="8.85546875" style="139" customWidth="1"/>
    <col min="3" max="4" width="30.85546875" style="139" customWidth="1"/>
    <col min="5" max="8" width="20" style="139" customWidth="1"/>
    <col min="9" max="9" width="17.85546875" style="139" customWidth="1"/>
    <col min="10" max="10" width="8.85546875" style="139" customWidth="1"/>
    <col min="11" max="11" width="38.42578125" style="139" customWidth="1"/>
    <col min="12" max="13" width="9.140625" style="139" customWidth="1"/>
    <col min="14" max="15" width="11.42578125" style="139" customWidth="1"/>
    <col min="16" max="16" width="9.140625" style="139" customWidth="1"/>
    <col min="17" max="16384" width="11.42578125" style="139"/>
  </cols>
  <sheetData>
    <row r="1" spans="1:26" ht="12.75" customHeight="1">
      <c r="A1" s="319"/>
      <c r="B1" s="319"/>
      <c r="C1" s="319"/>
      <c r="D1" s="319"/>
      <c r="E1" s="589" t="str">
        <f>IF($B$30="Polski",CONCATENATE("Cennik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F1" s="589"/>
      <c r="G1" s="589"/>
      <c r="H1" s="589"/>
      <c r="I1" s="18"/>
      <c r="J1" s="319"/>
      <c r="K1" s="589"/>
      <c r="L1" s="589"/>
      <c r="M1" s="589"/>
      <c r="N1" s="589"/>
      <c r="O1" s="589"/>
      <c r="P1" s="589"/>
      <c r="Q1" s="319"/>
      <c r="R1" s="319"/>
      <c r="S1" s="319"/>
      <c r="T1" s="319"/>
      <c r="U1" s="319"/>
      <c r="V1" s="319"/>
      <c r="W1" s="319"/>
      <c r="X1" s="319"/>
      <c r="Y1" s="319"/>
      <c r="Z1" s="319"/>
    </row>
    <row r="2" spans="1:26" ht="12.75" customHeight="1">
      <c r="A2" s="319"/>
      <c r="B2" s="319"/>
      <c r="C2" s="194"/>
      <c r="D2" s="18"/>
      <c r="E2" s="589"/>
      <c r="F2" s="589"/>
      <c r="G2" s="589"/>
      <c r="H2" s="589"/>
      <c r="I2" s="18"/>
      <c r="J2" s="321"/>
      <c r="K2" s="589"/>
      <c r="L2" s="589"/>
      <c r="M2" s="589"/>
      <c r="N2" s="589"/>
      <c r="O2" s="589"/>
      <c r="P2" s="589"/>
      <c r="Q2" s="319"/>
      <c r="R2" s="319"/>
      <c r="S2" s="319"/>
      <c r="T2" s="319"/>
      <c r="U2" s="319"/>
      <c r="V2" s="319"/>
      <c r="W2" s="319"/>
      <c r="X2" s="319"/>
      <c r="Y2" s="319"/>
      <c r="Z2" s="319"/>
    </row>
    <row r="3" spans="1:26">
      <c r="A3" s="319"/>
      <c r="B3" s="319"/>
      <c r="C3" s="319"/>
      <c r="D3" s="18"/>
      <c r="E3" s="589"/>
      <c r="F3" s="589"/>
      <c r="G3" s="589"/>
      <c r="H3" s="589"/>
      <c r="I3" s="18"/>
      <c r="J3" s="321"/>
      <c r="K3" s="589"/>
      <c r="L3" s="589"/>
      <c r="M3" s="589"/>
      <c r="N3" s="589"/>
      <c r="O3" s="589"/>
      <c r="P3" s="589"/>
      <c r="Q3" s="319"/>
      <c r="R3" s="319"/>
      <c r="S3" s="319"/>
      <c r="T3" s="319"/>
      <c r="U3" s="319"/>
      <c r="V3" s="319"/>
      <c r="W3" s="319"/>
      <c r="X3" s="319"/>
      <c r="Y3" s="319"/>
      <c r="Z3" s="319"/>
    </row>
    <row r="4" spans="1:26" s="34" customFormat="1" ht="12.75" customHeight="1">
      <c r="A4" s="322"/>
      <c r="B4" s="35" t="s">
        <v>0</v>
      </c>
      <c r="C4" s="322"/>
      <c r="D4" s="322"/>
      <c r="E4" s="322"/>
      <c r="F4" s="322"/>
      <c r="G4" s="322"/>
      <c r="H4" s="322"/>
      <c r="I4" s="322"/>
      <c r="J4" s="322"/>
      <c r="K4" s="322"/>
      <c r="L4" s="322"/>
      <c r="M4" s="322"/>
      <c r="N4" s="322"/>
      <c r="O4" s="322"/>
      <c r="P4" s="322"/>
      <c r="Q4" s="322"/>
      <c r="R4" s="322"/>
      <c r="S4" s="322"/>
      <c r="T4" s="322"/>
      <c r="U4" s="322"/>
      <c r="V4" s="322"/>
      <c r="W4" s="322"/>
      <c r="X4" s="322"/>
      <c r="Y4" s="322"/>
      <c r="Z4" s="322"/>
    </row>
    <row r="5" spans="1:26" s="120" customFormat="1" ht="12.75" customHeight="1">
      <c r="A5" s="313"/>
      <c r="B5" s="17"/>
      <c r="C5" s="313"/>
      <c r="D5" s="313"/>
      <c r="E5" s="313"/>
      <c r="F5" s="313"/>
      <c r="G5" s="313"/>
      <c r="H5" s="313"/>
      <c r="I5" s="313"/>
      <c r="J5" s="313"/>
      <c r="K5" s="313"/>
      <c r="L5" s="313"/>
      <c r="M5" s="313"/>
      <c r="N5" s="313"/>
      <c r="O5" s="313"/>
      <c r="P5" s="313"/>
      <c r="Q5" s="313"/>
      <c r="R5" s="313"/>
      <c r="S5" s="313"/>
      <c r="T5" s="313"/>
      <c r="U5" s="313"/>
      <c r="V5" s="313"/>
      <c r="W5" s="313"/>
      <c r="X5" s="313"/>
      <c r="Y5" s="313"/>
      <c r="Z5" s="313"/>
    </row>
    <row r="6" spans="1:26">
      <c r="A6" s="319"/>
      <c r="B6" s="313"/>
      <c r="C6" s="313"/>
      <c r="D6" s="313"/>
      <c r="E6" s="319"/>
      <c r="F6" s="319"/>
      <c r="G6" s="319"/>
      <c r="H6" s="319"/>
      <c r="I6" s="319"/>
      <c r="J6" s="313"/>
      <c r="K6" s="313"/>
      <c r="L6" s="313"/>
      <c r="M6" s="313"/>
      <c r="N6" s="313"/>
      <c r="O6" s="313"/>
      <c r="P6" s="313"/>
      <c r="Q6" s="319"/>
      <c r="R6" s="319"/>
      <c r="S6" s="319"/>
      <c r="T6" s="319"/>
      <c r="U6" s="319"/>
      <c r="V6" s="319"/>
      <c r="W6" s="319"/>
      <c r="X6" s="319"/>
      <c r="Y6" s="319"/>
      <c r="Z6" s="319"/>
    </row>
    <row r="7" spans="1:26" ht="36.200000000000003" customHeight="1">
      <c r="A7" s="313"/>
      <c r="B7" s="68"/>
      <c r="C7" s="135" t="s">
        <v>1</v>
      </c>
      <c r="D7" s="134" t="s">
        <v>2</v>
      </c>
      <c r="E7" s="101"/>
      <c r="F7" s="590"/>
      <c r="G7" s="590"/>
      <c r="H7" s="590"/>
      <c r="I7" s="590"/>
      <c r="J7" s="319"/>
      <c r="K7" s="581"/>
      <c r="L7" s="581"/>
      <c r="M7" s="581"/>
      <c r="N7" s="581"/>
      <c r="O7" s="581"/>
      <c r="P7" s="581"/>
      <c r="Q7" s="319"/>
      <c r="R7" s="319"/>
      <c r="S7" s="319"/>
      <c r="T7" s="319"/>
      <c r="U7" s="319"/>
      <c r="V7" s="319"/>
      <c r="W7" s="319"/>
      <c r="X7" s="319"/>
      <c r="Y7" s="319"/>
      <c r="Z7" s="150" t="s">
        <v>3</v>
      </c>
    </row>
    <row r="8" spans="1:26" ht="25.5" customHeight="1">
      <c r="A8" s="319"/>
      <c r="B8" s="136"/>
      <c r="C8" s="582" t="str">
        <f>INDEX(Z7:Z8,A30)</f>
        <v>Polski</v>
      </c>
      <c r="D8" s="582"/>
      <c r="E8" s="424"/>
      <c r="F8" s="591"/>
      <c r="G8" s="591"/>
      <c r="H8" s="591"/>
      <c r="I8" s="591"/>
      <c r="J8" s="313"/>
      <c r="K8" s="368"/>
      <c r="L8" s="583"/>
      <c r="M8" s="583"/>
      <c r="N8" s="583"/>
      <c r="O8" s="583"/>
      <c r="P8" s="583"/>
      <c r="Q8" s="319"/>
      <c r="R8" s="319"/>
      <c r="S8" s="319"/>
      <c r="T8" s="319"/>
      <c r="U8" s="319"/>
      <c r="V8" s="319"/>
      <c r="W8" s="319"/>
      <c r="X8" s="319"/>
      <c r="Y8" s="319"/>
      <c r="Z8" s="150" t="s">
        <v>4</v>
      </c>
    </row>
    <row r="9" spans="1:26" ht="25.35" customHeight="1">
      <c r="A9" s="319"/>
      <c r="B9" s="136"/>
      <c r="C9" s="584"/>
      <c r="D9" s="580"/>
      <c r="E9" s="367"/>
      <c r="F9" s="63"/>
      <c r="G9" s="64"/>
      <c r="H9" s="65"/>
      <c r="I9" s="65"/>
      <c r="J9" s="313"/>
      <c r="K9" s="85"/>
      <c r="L9" s="585"/>
      <c r="M9" s="585"/>
      <c r="N9" s="585"/>
      <c r="O9" s="585"/>
      <c r="P9" s="585"/>
      <c r="Q9" s="319"/>
      <c r="R9" s="319"/>
      <c r="S9" s="319"/>
      <c r="T9" s="319"/>
      <c r="U9" s="319"/>
      <c r="V9" s="319"/>
      <c r="W9" s="319"/>
      <c r="X9" s="319"/>
      <c r="Y9" s="319"/>
      <c r="Z9" s="319"/>
    </row>
    <row r="10" spans="1:26" ht="12.75" customHeight="1">
      <c r="A10" s="319"/>
      <c r="B10" s="136"/>
      <c r="C10" s="369"/>
      <c r="D10" s="367"/>
      <c r="E10" s="367"/>
      <c r="F10" s="63"/>
      <c r="G10" s="64"/>
      <c r="H10" s="65"/>
      <c r="I10" s="65"/>
      <c r="J10" s="313"/>
      <c r="K10" s="85"/>
      <c r="L10" s="370"/>
      <c r="M10" s="370"/>
      <c r="N10" s="370"/>
      <c r="O10" s="370"/>
      <c r="P10" s="370"/>
      <c r="Q10" s="319"/>
      <c r="R10" s="319"/>
      <c r="S10" s="319"/>
      <c r="T10" s="319"/>
      <c r="U10" s="319"/>
      <c r="V10" s="319"/>
      <c r="W10" s="319"/>
      <c r="X10" s="319"/>
      <c r="Y10" s="319"/>
      <c r="Z10" s="319"/>
    </row>
    <row r="11" spans="1:26">
      <c r="A11" s="319"/>
      <c r="B11" s="586"/>
      <c r="C11" s="587"/>
      <c r="D11" s="587"/>
      <c r="E11" s="587"/>
      <c r="F11" s="587"/>
      <c r="G11" s="587"/>
      <c r="H11" s="587"/>
      <c r="I11" s="65"/>
      <c r="J11" s="313"/>
      <c r="K11" s="85"/>
      <c r="L11" s="585"/>
      <c r="M11" s="585"/>
      <c r="N11" s="585"/>
      <c r="O11" s="585"/>
      <c r="P11" s="585"/>
      <c r="Q11" s="319"/>
      <c r="R11" s="319"/>
      <c r="S11" s="319"/>
      <c r="T11" s="319"/>
      <c r="U11" s="319"/>
      <c r="V11" s="319"/>
      <c r="W11" s="319"/>
      <c r="X11" s="319"/>
      <c r="Y11" s="319"/>
      <c r="Z11" s="319"/>
    </row>
    <row r="12" spans="1:26" ht="12.75" customHeight="1">
      <c r="A12" s="319"/>
      <c r="B12" s="587"/>
      <c r="C12" s="587"/>
      <c r="D12" s="587"/>
      <c r="E12" s="587"/>
      <c r="F12" s="587"/>
      <c r="G12" s="587"/>
      <c r="H12" s="587"/>
      <c r="I12" s="65"/>
      <c r="J12" s="313"/>
      <c r="K12" s="86"/>
      <c r="L12" s="588"/>
      <c r="M12" s="588"/>
      <c r="N12" s="588"/>
      <c r="O12" s="588"/>
      <c r="P12" s="588"/>
      <c r="Q12" s="319"/>
      <c r="R12" s="319"/>
      <c r="S12" s="319"/>
      <c r="T12" s="319"/>
      <c r="U12" s="319"/>
      <c r="V12" s="319"/>
      <c r="W12" s="319"/>
      <c r="X12" s="319"/>
      <c r="Y12" s="319"/>
      <c r="Z12" s="319"/>
    </row>
    <row r="13" spans="1:26" ht="12.75" customHeight="1">
      <c r="A13" s="319"/>
      <c r="B13" s="371"/>
      <c r="C13" s="371"/>
      <c r="D13" s="371"/>
      <c r="E13" s="371"/>
      <c r="F13" s="371"/>
      <c r="G13" s="371"/>
      <c r="H13" s="371"/>
      <c r="I13" s="65"/>
      <c r="J13" s="313"/>
      <c r="K13" s="86"/>
      <c r="L13" s="372"/>
      <c r="M13" s="372"/>
      <c r="N13" s="372"/>
      <c r="O13" s="372"/>
      <c r="P13" s="372"/>
      <c r="Q13" s="319"/>
      <c r="R13" s="319"/>
      <c r="S13" s="319"/>
      <c r="T13" s="319"/>
      <c r="U13" s="319"/>
      <c r="V13" s="319"/>
      <c r="W13" s="319"/>
      <c r="X13" s="319"/>
      <c r="Y13" s="319"/>
      <c r="Z13" s="319"/>
    </row>
    <row r="14" spans="1:26" ht="12.75" customHeight="1">
      <c r="A14" s="313"/>
      <c r="B14" s="195"/>
      <c r="C14" s="195"/>
      <c r="D14" s="195"/>
      <c r="E14" s="84"/>
      <c r="F14" s="43"/>
      <c r="G14" s="44"/>
      <c r="H14" s="45"/>
      <c r="I14" s="45"/>
      <c r="J14" s="313"/>
      <c r="K14" s="86"/>
      <c r="L14" s="372"/>
      <c r="M14" s="372"/>
      <c r="N14" s="372"/>
      <c r="O14" s="372"/>
      <c r="P14" s="372"/>
      <c r="Q14" s="319"/>
      <c r="R14" s="319"/>
      <c r="S14" s="319"/>
      <c r="T14" s="319"/>
      <c r="U14" s="319"/>
      <c r="V14" s="319"/>
      <c r="W14" s="319"/>
      <c r="X14" s="319"/>
      <c r="Y14" s="319"/>
      <c r="Z14" s="319"/>
    </row>
    <row r="15" spans="1:26">
      <c r="A15" s="313"/>
      <c r="B15" s="366"/>
      <c r="C15" s="366"/>
      <c r="D15" s="432"/>
      <c r="E15" s="366"/>
      <c r="F15" s="576"/>
      <c r="G15" s="366"/>
      <c r="H15" s="366"/>
      <c r="I15" s="41"/>
      <c r="J15" s="313"/>
      <c r="K15" s="85"/>
      <c r="L15" s="588"/>
      <c r="M15" s="588"/>
      <c r="N15" s="588"/>
      <c r="O15" s="588"/>
      <c r="P15" s="588"/>
      <c r="Q15" s="319"/>
      <c r="R15" s="319"/>
      <c r="S15" s="319"/>
      <c r="T15" s="319"/>
      <c r="U15" s="319"/>
      <c r="V15" s="319"/>
      <c r="W15" s="319"/>
      <c r="X15" s="319"/>
      <c r="Y15" s="319"/>
      <c r="Z15" s="319"/>
    </row>
    <row r="16" spans="1:26" ht="15">
      <c r="A16" s="313"/>
      <c r="B16" s="136"/>
      <c r="C16" s="140"/>
      <c r="D16" s="141"/>
      <c r="E16" s="142"/>
      <c r="F16" s="576"/>
      <c r="G16" s="143"/>
      <c r="H16" s="144"/>
      <c r="I16" s="144"/>
      <c r="J16" s="319"/>
      <c r="K16" s="87"/>
      <c r="L16" s="588"/>
      <c r="M16" s="588"/>
      <c r="N16" s="588"/>
      <c r="O16" s="588"/>
      <c r="P16" s="588"/>
      <c r="Q16" s="319"/>
      <c r="R16" s="319"/>
      <c r="S16" s="319"/>
      <c r="T16" s="319"/>
      <c r="U16" s="319"/>
      <c r="V16" s="319"/>
      <c r="W16" s="319"/>
      <c r="X16" s="319"/>
      <c r="Y16" s="319"/>
      <c r="Z16" s="319"/>
    </row>
    <row r="17" spans="1:16" ht="15">
      <c r="A17" s="313"/>
      <c r="B17" s="580"/>
      <c r="C17" s="580"/>
      <c r="D17" s="580"/>
      <c r="E17" s="580"/>
      <c r="F17" s="580"/>
      <c r="G17" s="580"/>
      <c r="H17" s="580"/>
      <c r="I17" s="145"/>
      <c r="J17" s="319"/>
      <c r="K17" s="368"/>
      <c r="L17" s="581"/>
      <c r="M17" s="581"/>
      <c r="N17" s="581"/>
      <c r="O17" s="581"/>
      <c r="P17" s="581"/>
    </row>
    <row r="18" spans="1:16">
      <c r="A18" s="319"/>
      <c r="B18" s="62"/>
      <c r="C18" s="62"/>
      <c r="D18" s="62"/>
      <c r="E18" s="62"/>
      <c r="F18" s="62"/>
      <c r="G18" s="62"/>
      <c r="H18" s="313"/>
      <c r="I18" s="313"/>
      <c r="J18" s="319"/>
      <c r="K18" s="313"/>
      <c r="L18" s="313"/>
      <c r="M18" s="313"/>
      <c r="N18" s="313"/>
      <c r="O18" s="313"/>
      <c r="P18" s="313"/>
    </row>
    <row r="19" spans="1:16" ht="25.5" customHeight="1">
      <c r="A19" s="319"/>
      <c r="B19" s="576"/>
      <c r="C19" s="366"/>
      <c r="D19" s="366"/>
      <c r="E19" s="366"/>
      <c r="F19" s="366"/>
      <c r="G19" s="366"/>
      <c r="H19" s="313"/>
      <c r="I19" s="313"/>
      <c r="J19" s="313"/>
      <c r="K19" s="138"/>
      <c r="L19" s="577"/>
      <c r="M19" s="577"/>
      <c r="N19" s="577"/>
      <c r="O19" s="577"/>
      <c r="P19" s="577"/>
    </row>
    <row r="20" spans="1:16" ht="25.5" customHeight="1">
      <c r="A20" s="319"/>
      <c r="B20" s="576"/>
      <c r="C20" s="146"/>
      <c r="D20" s="147"/>
      <c r="E20" s="146"/>
      <c r="F20" s="148"/>
      <c r="G20" s="149"/>
      <c r="H20" s="313"/>
      <c r="I20" s="313"/>
      <c r="J20" s="313"/>
      <c r="K20" s="136"/>
      <c r="L20" s="578"/>
      <c r="M20" s="578"/>
      <c r="N20" s="578"/>
      <c r="O20" s="578"/>
      <c r="P20" s="578"/>
    </row>
    <row r="21" spans="1:16" ht="25.5" customHeight="1">
      <c r="A21" s="319"/>
      <c r="B21" s="576"/>
      <c r="C21" s="146"/>
      <c r="D21" s="147"/>
      <c r="E21" s="146"/>
      <c r="F21" s="148"/>
      <c r="G21" s="149"/>
      <c r="H21" s="313"/>
      <c r="I21" s="313"/>
      <c r="J21" s="313"/>
      <c r="K21" s="136"/>
      <c r="L21" s="579"/>
      <c r="M21" s="579"/>
      <c r="N21" s="579"/>
      <c r="O21" s="579"/>
      <c r="P21" s="579"/>
    </row>
    <row r="22" spans="1:16" ht="25.5" customHeight="1">
      <c r="A22" s="319"/>
      <c r="B22" s="576"/>
      <c r="C22" s="146"/>
      <c r="D22" s="147"/>
      <c r="E22" s="146"/>
      <c r="F22" s="148"/>
      <c r="G22" s="149"/>
      <c r="H22" s="313"/>
      <c r="I22" s="313"/>
      <c r="J22" s="313"/>
      <c r="K22" s="136"/>
      <c r="L22" s="575"/>
      <c r="M22" s="575"/>
      <c r="N22" s="575"/>
      <c r="O22" s="575"/>
      <c r="P22" s="575"/>
    </row>
    <row r="23" spans="1:16" ht="25.5" customHeight="1">
      <c r="A23" s="319"/>
      <c r="B23" s="576"/>
      <c r="C23" s="146"/>
      <c r="D23" s="147"/>
      <c r="E23" s="146"/>
      <c r="F23" s="148"/>
      <c r="G23" s="149"/>
      <c r="H23" s="313"/>
      <c r="I23" s="313"/>
      <c r="J23" s="313"/>
      <c r="K23" s="136"/>
      <c r="L23" s="575"/>
      <c r="M23" s="575"/>
      <c r="N23" s="575"/>
      <c r="O23" s="575"/>
      <c r="P23" s="575"/>
    </row>
    <row r="24" spans="1:16" ht="25.5" customHeight="1">
      <c r="A24" s="319"/>
      <c r="B24" s="576"/>
      <c r="C24" s="146"/>
      <c r="D24" s="147"/>
      <c r="E24" s="146"/>
      <c r="F24" s="148"/>
      <c r="G24" s="149"/>
      <c r="H24" s="313"/>
      <c r="I24" s="313"/>
      <c r="J24" s="313"/>
      <c r="K24" s="136"/>
      <c r="L24" s="575"/>
      <c r="M24" s="575"/>
      <c r="N24" s="575"/>
      <c r="O24" s="575"/>
      <c r="P24" s="575"/>
    </row>
    <row r="25" spans="1:16" ht="25.5" customHeight="1">
      <c r="A25" s="319"/>
      <c r="B25" s="576"/>
      <c r="C25" s="146"/>
      <c r="D25" s="147"/>
      <c r="E25" s="146"/>
      <c r="F25" s="149"/>
      <c r="G25" s="149"/>
      <c r="H25" s="313"/>
      <c r="I25" s="313"/>
      <c r="J25" s="313"/>
      <c r="K25" s="136"/>
      <c r="L25" s="575"/>
      <c r="M25" s="575"/>
      <c r="N25" s="575"/>
      <c r="O25" s="575"/>
      <c r="P25" s="575"/>
    </row>
    <row r="26" spans="1:16" ht="25.5" customHeight="1">
      <c r="A26" s="319"/>
      <c r="B26" s="61"/>
      <c r="C26" s="313"/>
      <c r="D26" s="313"/>
      <c r="E26" s="313"/>
      <c r="F26" s="313"/>
      <c r="G26" s="313"/>
      <c r="H26" s="313"/>
      <c r="I26" s="313"/>
      <c r="J26" s="313"/>
      <c r="K26" s="136"/>
      <c r="L26" s="575"/>
      <c r="M26" s="575"/>
      <c r="N26" s="575"/>
      <c r="O26" s="575"/>
      <c r="P26" s="575"/>
    </row>
    <row r="27" spans="1:16" ht="25.5" customHeight="1">
      <c r="A27" s="319"/>
      <c r="B27" s="82"/>
      <c r="C27" s="39"/>
      <c r="D27" s="39"/>
      <c r="E27" s="39"/>
      <c r="F27" s="39"/>
      <c r="G27" s="39"/>
      <c r="H27" s="313"/>
      <c r="I27" s="313"/>
      <c r="J27" s="313"/>
      <c r="K27" s="136"/>
      <c r="L27" s="575"/>
      <c r="M27" s="575"/>
      <c r="N27" s="575"/>
      <c r="O27" s="575"/>
      <c r="P27" s="575"/>
    </row>
    <row r="28" spans="1:16" ht="25.5" customHeight="1">
      <c r="A28" s="319"/>
      <c r="B28" s="319"/>
      <c r="C28" s="319"/>
      <c r="D28" s="319"/>
      <c r="E28" s="319"/>
      <c r="F28" s="319"/>
      <c r="G28" s="319"/>
      <c r="H28" s="319"/>
      <c r="I28" s="319"/>
      <c r="J28" s="313"/>
      <c r="K28" s="137"/>
      <c r="L28" s="575"/>
      <c r="M28" s="575"/>
      <c r="N28" s="575"/>
      <c r="O28" s="575"/>
      <c r="P28" s="575"/>
    </row>
    <row r="29" spans="1:16" ht="25.5" customHeight="1">
      <c r="A29" s="319"/>
      <c r="B29" s="319"/>
      <c r="C29" s="319"/>
      <c r="D29" s="319"/>
      <c r="E29" s="319"/>
      <c r="F29" s="319"/>
      <c r="G29" s="319"/>
      <c r="H29" s="319"/>
      <c r="I29" s="319"/>
      <c r="J29" s="313"/>
      <c r="K29" s="137"/>
      <c r="L29" s="575"/>
      <c r="M29" s="575"/>
      <c r="N29" s="575"/>
      <c r="O29" s="575"/>
      <c r="P29" s="575"/>
    </row>
    <row r="30" spans="1:16" ht="25.5" customHeight="1">
      <c r="A30" s="150">
        <v>1</v>
      </c>
      <c r="B30" s="150" t="str">
        <f>INDEX(Z7:Z8,A30)</f>
        <v>Polski</v>
      </c>
      <c r="C30" s="319"/>
      <c r="D30" s="319"/>
      <c r="E30" s="319"/>
      <c r="F30" s="319"/>
      <c r="G30" s="319"/>
      <c r="H30" s="319"/>
      <c r="I30" s="319"/>
      <c r="J30" s="313"/>
      <c r="K30" s="82"/>
      <c r="L30" s="82"/>
      <c r="M30" s="313"/>
      <c r="N30" s="313"/>
      <c r="O30" s="313"/>
      <c r="P30" s="313"/>
    </row>
    <row r="31" spans="1:16" ht="26.25" customHeight="1">
      <c r="A31" s="319"/>
      <c r="B31" s="319"/>
      <c r="C31" s="319"/>
      <c r="D31" s="319"/>
      <c r="E31" s="319"/>
      <c r="F31" s="319"/>
      <c r="G31" s="319"/>
      <c r="H31" s="319"/>
      <c r="I31" s="319"/>
      <c r="J31" s="313"/>
      <c r="K31" s="313"/>
      <c r="L31" s="313"/>
      <c r="M31" s="313"/>
      <c r="N31" s="313"/>
      <c r="O31" s="313"/>
      <c r="P31" s="313"/>
    </row>
    <row r="32" spans="1:16">
      <c r="A32" s="319"/>
      <c r="B32" s="319"/>
      <c r="C32" s="319"/>
      <c r="D32" s="319"/>
      <c r="E32" s="319"/>
      <c r="F32" s="319"/>
      <c r="G32" s="319"/>
      <c r="H32" s="319"/>
      <c r="I32" s="319"/>
      <c r="J32" s="313"/>
      <c r="K32" s="313"/>
      <c r="L32" s="313"/>
      <c r="M32" s="313"/>
      <c r="N32" s="313"/>
      <c r="O32" s="313"/>
      <c r="P32" s="313"/>
    </row>
  </sheetData>
  <mergeCells count="32">
    <mergeCell ref="E1:H3"/>
    <mergeCell ref="K1:P3"/>
    <mergeCell ref="F7:F8"/>
    <mergeCell ref="G7:G8"/>
    <mergeCell ref="H7:H8"/>
    <mergeCell ref="I7:I8"/>
    <mergeCell ref="K7:P7"/>
    <mergeCell ref="B17:H17"/>
    <mergeCell ref="L17:P17"/>
    <mergeCell ref="C8:D8"/>
    <mergeCell ref="L8:P8"/>
    <mergeCell ref="C9:D9"/>
    <mergeCell ref="L9:P9"/>
    <mergeCell ref="B11:H11"/>
    <mergeCell ref="L11:P11"/>
    <mergeCell ref="B12:H12"/>
    <mergeCell ref="L12:P12"/>
    <mergeCell ref="F15:F16"/>
    <mergeCell ref="L15:P15"/>
    <mergeCell ref="L16:P16"/>
    <mergeCell ref="L26:P26"/>
    <mergeCell ref="L27:P27"/>
    <mergeCell ref="L28:P28"/>
    <mergeCell ref="L29:P29"/>
    <mergeCell ref="B19:B25"/>
    <mergeCell ref="L19:P19"/>
    <mergeCell ref="L20:P20"/>
    <mergeCell ref="L21:P21"/>
    <mergeCell ref="L22:P22"/>
    <mergeCell ref="L23:P23"/>
    <mergeCell ref="L24:P24"/>
    <mergeCell ref="L25:P25"/>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28575</xdr:colOff>
                    <xdr:row>7</xdr:row>
                    <xdr:rowOff>9525</xdr:rowOff>
                  </from>
                  <to>
                    <xdr:col>4</xdr:col>
                    <xdr:colOff>28575</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320"/>
      <c r="B1" s="320"/>
      <c r="C1" s="320"/>
      <c r="D1" s="320"/>
      <c r="E1" s="320"/>
      <c r="F1" s="320"/>
      <c r="G1" s="320"/>
      <c r="H1" s="320"/>
      <c r="I1" s="320"/>
      <c r="J1" s="320"/>
      <c r="K1" s="320"/>
      <c r="L1" s="320"/>
      <c r="M1" s="320"/>
      <c r="N1" s="320"/>
      <c r="O1" s="320"/>
      <c r="P1" s="320"/>
      <c r="Q1" s="320"/>
      <c r="R1" s="320"/>
    </row>
    <row r="2" spans="1:18" ht="15" customHeight="1">
      <c r="A2" s="12"/>
      <c r="B2" s="12"/>
      <c r="C2" s="12"/>
      <c r="D2" s="12"/>
      <c r="E2" s="12"/>
      <c r="F2" s="12"/>
      <c r="G2" s="12"/>
      <c r="H2" s="12"/>
      <c r="I2" s="12"/>
      <c r="J2" s="1055"/>
      <c r="K2" s="1055"/>
      <c r="L2" s="1055"/>
      <c r="M2" s="1055"/>
      <c r="N2" s="90"/>
      <c r="O2" s="90"/>
      <c r="P2" s="90"/>
      <c r="Q2" s="90"/>
      <c r="R2" s="90"/>
    </row>
    <row r="3" spans="1:18" ht="15" customHeight="1">
      <c r="A3" s="12"/>
      <c r="B3" s="12"/>
      <c r="C3" s="12"/>
      <c r="D3" s="12"/>
      <c r="E3" s="12"/>
      <c r="F3" s="12"/>
      <c r="G3" s="12"/>
      <c r="H3" s="12"/>
      <c r="I3" s="12"/>
      <c r="J3" s="1055"/>
      <c r="K3" s="1055"/>
      <c r="L3" s="1055"/>
      <c r="M3" s="1055"/>
      <c r="N3" s="90"/>
      <c r="O3" s="90"/>
      <c r="P3" s="90"/>
      <c r="Q3" s="90"/>
      <c r="R3" s="90"/>
    </row>
    <row r="4" spans="1:18">
      <c r="A4" s="12"/>
      <c r="B4" s="12"/>
      <c r="C4" s="12"/>
      <c r="D4" s="12"/>
      <c r="E4" s="12"/>
      <c r="F4" s="12"/>
      <c r="G4" s="12"/>
      <c r="H4" s="12"/>
      <c r="I4" s="12"/>
      <c r="J4" s="1055"/>
      <c r="K4" s="1055"/>
      <c r="L4" s="1055"/>
      <c r="M4" s="1055"/>
      <c r="N4" s="90"/>
      <c r="O4" s="90"/>
      <c r="P4" s="90"/>
      <c r="Q4" s="90"/>
      <c r="R4" s="90"/>
    </row>
    <row r="5" spans="1:18">
      <c r="A5" s="12"/>
      <c r="B5" s="12"/>
      <c r="C5" s="12"/>
      <c r="D5" s="12"/>
      <c r="E5" s="12"/>
      <c r="F5" s="12"/>
      <c r="G5" s="12"/>
      <c r="H5" s="12"/>
      <c r="I5" s="12"/>
      <c r="J5" s="90"/>
      <c r="K5" s="90"/>
      <c r="L5" s="90"/>
      <c r="M5" s="90"/>
      <c r="N5" s="90"/>
      <c r="O5" s="90"/>
      <c r="P5" s="90"/>
      <c r="Q5" s="90"/>
      <c r="R5" s="90"/>
    </row>
    <row r="6" spans="1:18">
      <c r="A6" s="12"/>
      <c r="B6" s="12"/>
      <c r="C6" s="12"/>
      <c r="D6" s="12"/>
      <c r="E6" s="12"/>
      <c r="F6" s="12"/>
      <c r="G6" s="12"/>
      <c r="H6" s="12"/>
      <c r="I6" s="12"/>
      <c r="J6" s="12"/>
      <c r="K6" s="12"/>
      <c r="L6" s="12"/>
      <c r="M6" s="12"/>
      <c r="N6" s="12"/>
      <c r="O6" s="12"/>
      <c r="P6" s="12"/>
      <c r="Q6" s="320"/>
      <c r="R6" s="320"/>
    </row>
    <row r="7" spans="1:18">
      <c r="A7" s="12"/>
      <c r="B7" s="12"/>
      <c r="C7" s="12"/>
      <c r="D7" s="12"/>
      <c r="E7" s="12"/>
      <c r="F7" s="12"/>
      <c r="G7" s="12"/>
      <c r="H7" s="12"/>
      <c r="I7" s="12"/>
      <c r="J7" s="12"/>
      <c r="K7" s="12"/>
      <c r="L7" s="12"/>
      <c r="M7" s="12"/>
      <c r="N7" s="12"/>
      <c r="O7" s="12"/>
      <c r="P7" s="12"/>
      <c r="Q7" s="320"/>
      <c r="R7" s="320"/>
    </row>
    <row r="8" spans="1:18">
      <c r="A8" s="12"/>
      <c r="B8" s="12"/>
      <c r="C8" s="12"/>
      <c r="D8" s="1052" t="str">
        <f>IF('Język - Language'!$B$30="Polski","Regulamin sprzedaży reklamy","General rules of advertisement sales")</f>
        <v>Regulamin sprzedaży reklamy</v>
      </c>
      <c r="E8" s="1052"/>
      <c r="F8" s="1052"/>
      <c r="G8" s="1053" t="s">
        <v>114</v>
      </c>
      <c r="H8" s="1054"/>
      <c r="I8" s="1054"/>
      <c r="J8" s="1054"/>
      <c r="K8" s="1054"/>
      <c r="L8" s="1054"/>
      <c r="M8" s="1054"/>
      <c r="N8" s="1054"/>
      <c r="O8" s="1054"/>
      <c r="P8" s="1054"/>
      <c r="Q8" s="320"/>
      <c r="R8" s="320"/>
    </row>
    <row r="9" spans="1:18">
      <c r="A9" s="12"/>
      <c r="B9" s="12"/>
      <c r="C9" s="12"/>
      <c r="D9" s="30"/>
      <c r="E9" s="30"/>
      <c r="F9" s="30"/>
      <c r="G9" s="31"/>
      <c r="H9" s="31"/>
      <c r="I9" s="31"/>
      <c r="J9" s="31"/>
      <c r="K9" s="31"/>
      <c r="L9" s="31"/>
      <c r="M9" s="31"/>
      <c r="N9" s="31"/>
      <c r="O9" s="31"/>
      <c r="P9" s="31"/>
      <c r="Q9" s="320"/>
      <c r="R9" s="320"/>
    </row>
    <row r="10" spans="1:18" ht="57" customHeight="1">
      <c r="A10" s="12"/>
      <c r="B10" s="12"/>
      <c r="C10" s="12"/>
      <c r="D10" s="1058" t="str">
        <f>IF('Język - Language'!$B$30="Polski","Specyfikacja techniczna do pobrania na serwisie Reklama.wp.pl","You can download our technical specification from reklama.wp.pl")</f>
        <v>Specyfikacja techniczna do pobrania na serwisie Reklama.wp.pl</v>
      </c>
      <c r="E10" s="1058"/>
      <c r="F10" s="1058"/>
      <c r="G10" s="1053" t="s">
        <v>114</v>
      </c>
      <c r="H10" s="1054"/>
      <c r="I10" s="1054"/>
      <c r="J10" s="1054"/>
      <c r="K10" s="1054"/>
      <c r="L10" s="1054"/>
      <c r="M10" s="1054"/>
      <c r="N10" s="1054"/>
      <c r="O10" s="1054"/>
      <c r="P10" s="31"/>
      <c r="Q10" s="320"/>
      <c r="R10" s="320"/>
    </row>
    <row r="11" spans="1:18" s="13" customFormat="1" ht="47.25" customHeight="1">
      <c r="A11" s="320"/>
      <c r="B11" s="320"/>
      <c r="C11" s="320"/>
      <c r="D11" s="320"/>
      <c r="E11" s="320"/>
      <c r="F11" s="320"/>
      <c r="G11" s="320"/>
      <c r="H11" s="320"/>
      <c r="I11" s="320"/>
      <c r="J11" s="320"/>
      <c r="K11" s="320"/>
      <c r="L11" s="320"/>
      <c r="M11" s="320"/>
      <c r="N11" s="320"/>
      <c r="O11" s="320"/>
      <c r="P11" s="320"/>
      <c r="Q11" s="320"/>
      <c r="R11" s="320"/>
    </row>
    <row r="12" spans="1:18" s="13" customFormat="1">
      <c r="A12" s="320"/>
      <c r="B12" s="320"/>
      <c r="C12" s="320"/>
      <c r="D12" s="423"/>
      <c r="E12" s="423"/>
      <c r="F12" s="423"/>
      <c r="G12" s="1059"/>
      <c r="H12" s="1059"/>
      <c r="I12" s="1059"/>
      <c r="J12" s="1059"/>
      <c r="K12" s="1059"/>
      <c r="L12" s="1059"/>
      <c r="M12" s="1059"/>
      <c r="N12" s="1059"/>
      <c r="O12" s="1059"/>
      <c r="P12" s="320"/>
      <c r="Q12" s="320"/>
      <c r="R12" s="320"/>
    </row>
    <row r="13" spans="1:18" s="13" customFormat="1">
      <c r="A13" s="320"/>
      <c r="B13" s="320"/>
      <c r="C13" s="320"/>
      <c r="D13" s="14"/>
      <c r="E13" s="14"/>
      <c r="F13" s="14"/>
      <c r="G13" s="320"/>
      <c r="H13" s="320"/>
      <c r="I13" s="320"/>
      <c r="J13" s="320"/>
      <c r="K13" s="320"/>
      <c r="L13" s="320"/>
      <c r="M13" s="320"/>
      <c r="N13" s="320"/>
      <c r="O13" s="320"/>
      <c r="P13" s="320"/>
      <c r="Q13" s="320"/>
      <c r="R13" s="320"/>
    </row>
    <row r="14" spans="1:18" s="13" customFormat="1">
      <c r="A14" s="320"/>
      <c r="B14" s="320"/>
      <c r="C14" s="320"/>
      <c r="D14" s="1060"/>
      <c r="E14" s="1060"/>
      <c r="F14" s="1060"/>
      <c r="G14" s="1059"/>
      <c r="H14" s="1059"/>
      <c r="I14" s="1059"/>
      <c r="J14" s="1059"/>
      <c r="K14" s="1059"/>
      <c r="L14" s="1059"/>
      <c r="M14" s="1059"/>
      <c r="N14" s="1059"/>
      <c r="O14" s="1059"/>
      <c r="P14" s="320"/>
      <c r="Q14" s="320"/>
      <c r="R14" s="320"/>
    </row>
    <row r="15" spans="1:18" s="13" customFormat="1">
      <c r="A15" s="320"/>
      <c r="B15" s="320"/>
      <c r="C15" s="320"/>
      <c r="D15" s="320"/>
      <c r="E15"/>
      <c r="F15" s="320"/>
      <c r="G15" s="1056"/>
      <c r="H15" s="1057"/>
      <c r="I15" s="1057"/>
      <c r="J15" s="1057"/>
      <c r="K15" s="1057"/>
      <c r="L15" s="1057"/>
      <c r="M15" s="1057"/>
      <c r="N15" s="1057"/>
      <c r="O15" s="1057"/>
      <c r="P15" s="320"/>
      <c r="Q15" s="320"/>
      <c r="R15" s="320"/>
    </row>
    <row r="16" spans="1:18" s="13" customFormat="1">
      <c r="A16" s="320"/>
      <c r="B16" s="320"/>
      <c r="C16" s="320"/>
      <c r="D16" s="320"/>
      <c r="E16" s="320"/>
      <c r="F16" s="320"/>
      <c r="G16" s="320"/>
      <c r="H16" s="320"/>
      <c r="I16" s="320"/>
      <c r="J16" s="320"/>
      <c r="K16" s="320"/>
      <c r="L16" s="320"/>
      <c r="M16" s="320"/>
      <c r="N16" s="320"/>
      <c r="O16" s="320"/>
      <c r="P16" s="320"/>
      <c r="Q16" s="320"/>
      <c r="R16" s="320"/>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hyperlink ref="G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R105"/>
  <sheetViews>
    <sheetView zoomScaleNormal="100" workbookViewId="0">
      <pane ySplit="4" topLeftCell="A5" activePane="bottomLeft" state="frozen"/>
      <selection pane="bottomLeft"/>
    </sheetView>
  </sheetViews>
  <sheetFormatPr defaultColWidth="28.85546875" defaultRowHeight="12.75"/>
  <cols>
    <col min="1" max="1" width="2.85546875" style="2" customWidth="1"/>
    <col min="2" max="2" width="4.85546875" style="2" customWidth="1"/>
    <col min="3" max="3" width="18.5703125" style="2" customWidth="1"/>
    <col min="4" max="4" width="18.5703125" style="263" customWidth="1"/>
    <col min="5" max="5" width="18.5703125" style="131" customWidth="1"/>
    <col min="6" max="6" width="18.5703125" style="2" customWidth="1"/>
    <col min="7" max="7" width="18.5703125" style="263" customWidth="1"/>
    <col min="8" max="8" width="18.5703125" style="131" customWidth="1"/>
    <col min="9" max="10" width="18.5703125" style="2" customWidth="1"/>
    <col min="11" max="12" width="16.42578125" style="2" customWidth="1"/>
    <col min="13" max="13" width="14.5703125" style="2" customWidth="1"/>
    <col min="14" max="16384" width="28.85546875" style="2"/>
  </cols>
  <sheetData>
    <row r="1" spans="1:13" ht="12.75" customHeight="1">
      <c r="A1"/>
      <c r="B1" s="319"/>
      <c r="C1" s="319"/>
      <c r="D1" s="319"/>
      <c r="E1" s="319"/>
      <c r="F1" s="319"/>
      <c r="G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H1" s="589"/>
      <c r="I1" s="589"/>
      <c r="J1" s="589"/>
      <c r="K1" s="321"/>
      <c r="L1" s="319"/>
      <c r="M1" s="319"/>
    </row>
    <row r="2" spans="1:13" ht="12.75" customHeight="1">
      <c r="A2" s="319"/>
      <c r="B2" s="319"/>
      <c r="C2" s="321"/>
      <c r="D2" s="321"/>
      <c r="E2" s="321"/>
      <c r="F2" s="321"/>
      <c r="G2" s="589"/>
      <c r="H2" s="589"/>
      <c r="I2" s="589"/>
      <c r="J2" s="589"/>
      <c r="K2" s="321"/>
      <c r="L2" s="319"/>
      <c r="M2" s="319"/>
    </row>
    <row r="3" spans="1:13" ht="12.75" customHeight="1">
      <c r="A3" s="319"/>
      <c r="B3" s="319"/>
      <c r="C3" s="321"/>
      <c r="D3" s="321"/>
      <c r="E3" s="321"/>
      <c r="F3" s="321"/>
      <c r="G3" s="589"/>
      <c r="H3" s="589"/>
      <c r="I3" s="589"/>
      <c r="J3" s="589"/>
      <c r="K3" s="321"/>
      <c r="L3" s="319"/>
      <c r="M3" s="319"/>
    </row>
    <row r="4" spans="1:13" s="34" customFormat="1" ht="12.75" customHeight="1">
      <c r="A4" s="322"/>
      <c r="B4" s="35"/>
      <c r="C4" s="35" t="str">
        <f>IF('Język - Language'!$B$30="Polski","         Reklama na wielu ekranach","         Multiscreen. Cross-Device")</f>
        <v xml:space="preserve">         Reklama na wielu ekranach</v>
      </c>
      <c r="D4" s="35"/>
      <c r="E4" s="35"/>
      <c r="F4" s="322"/>
      <c r="G4" s="322"/>
      <c r="H4" s="322"/>
      <c r="I4" s="322"/>
      <c r="J4" s="312" t="str">
        <f>IF('Język - Language'!$B$30="Polski","PL","EN")</f>
        <v>PL</v>
      </c>
      <c r="K4" s="322"/>
      <c r="L4" s="322"/>
      <c r="M4" s="322"/>
    </row>
    <row r="5" spans="1:13" ht="12.75" customHeight="1">
      <c r="A5" s="319"/>
      <c r="B5" s="319"/>
      <c r="C5" s="319"/>
      <c r="D5" s="319"/>
      <c r="E5" s="319"/>
      <c r="F5" s="319"/>
      <c r="G5" s="319"/>
      <c r="H5" s="319"/>
      <c r="I5" s="319"/>
      <c r="J5" s="319"/>
      <c r="K5" s="319"/>
      <c r="L5" s="319"/>
      <c r="M5" s="319"/>
    </row>
    <row r="6" spans="1:13" s="58" customFormat="1" ht="12.75" customHeight="1">
      <c r="A6" s="319"/>
      <c r="B6" s="319"/>
      <c r="C6" s="319"/>
      <c r="D6" s="319"/>
      <c r="E6" s="319"/>
      <c r="F6" s="319"/>
      <c r="G6" s="319"/>
      <c r="H6" s="319"/>
      <c r="I6" s="319"/>
      <c r="J6" s="319"/>
      <c r="K6" s="319"/>
      <c r="L6" s="319"/>
      <c r="M6" s="319"/>
    </row>
    <row r="7" spans="1:13" s="57" customFormat="1" ht="12.75" customHeight="1">
      <c r="A7" s="313"/>
      <c r="B7" s="313"/>
      <c r="C7" s="626" t="str">
        <f>IF('Język - Language'!$B$30="Polski","        WP STRONA GŁÓWNA (DESKTOP/TABLET)","        WP HOME PAGE (DESKTOP/TABLET)")</f>
        <v xml:space="preserve">        WP STRONA GŁÓWNA (DESKTOP/TABLET)</v>
      </c>
      <c r="D7" s="626"/>
      <c r="E7" s="626"/>
      <c r="F7" s="626" t="str">
        <f>IF('Język - Language'!$B$30="Polski","WP STRONA GŁÓWNA (MOBILE¹)","WP HOME PAGE (MOBILE¹)")</f>
        <v>WP STRONA GŁÓWNA (MOBILE¹)</v>
      </c>
      <c r="G7" s="626"/>
      <c r="H7" s="626"/>
      <c r="I7" s="626" t="str">
        <f>IF('Język - Language'!$B$30="Polski","CENA RC","PRICE")</f>
        <v>CENA RC</v>
      </c>
      <c r="J7" s="639"/>
      <c r="K7" s="319"/>
      <c r="L7" s="319"/>
      <c r="M7" s="319"/>
    </row>
    <row r="8" spans="1:13" s="57" customFormat="1" ht="12.75" customHeight="1">
      <c r="A8"/>
      <c r="B8" s="313"/>
      <c r="C8" s="627"/>
      <c r="D8" s="627"/>
      <c r="E8" s="627"/>
      <c r="F8" s="627"/>
      <c r="G8" s="627"/>
      <c r="H8" s="627"/>
      <c r="I8" s="382" t="str">
        <f>IF('Język - Language'!$B$30="Polski","styczeń-październik","Jan-Oct")</f>
        <v>styczeń-październik</v>
      </c>
      <c r="J8" s="265" t="str">
        <f>IF('Język - Language'!$B$30="Polski","listopad-grudzień","Nov-Dec")</f>
        <v>listopad-grudzień</v>
      </c>
      <c r="K8" s="313"/>
      <c r="L8" s="313"/>
      <c r="M8" s="313"/>
    </row>
    <row r="9" spans="1:13" s="81" customFormat="1" ht="25.5" customHeight="1">
      <c r="A9" s="319"/>
      <c r="B9" s="33"/>
      <c r="C9" s="601" t="str">
        <f>IF('Język - Language'!$B$30="Polski","Panel Premium Flat Fee","Panel Premium Flat Fee")</f>
        <v>Panel Premium Flat Fee</v>
      </c>
      <c r="D9" s="602"/>
      <c r="E9" s="603"/>
      <c r="F9" s="592" t="str">
        <f>IF('Język - Language'!$B$30="Polski","nd","n/a")</f>
        <v>nd</v>
      </c>
      <c r="G9" s="593"/>
      <c r="H9" s="594"/>
      <c r="I9" s="177">
        <v>385000</v>
      </c>
      <c r="J9" s="178">
        <v>450000</v>
      </c>
      <c r="K9" s="313"/>
      <c r="L9" s="313"/>
      <c r="M9" s="313"/>
    </row>
    <row r="10" spans="1:13" s="319" customFormat="1" ht="25.5" customHeight="1">
      <c r="B10" s="33"/>
      <c r="C10" s="598" t="str">
        <f>IF('Język - Language'!$B$30="Polski","Panel Premium XL Flat Fee","Panel Premium XL Flat Fee")</f>
        <v>Panel Premium XL Flat Fee</v>
      </c>
      <c r="D10" s="599"/>
      <c r="E10" s="600"/>
      <c r="F10" s="595"/>
      <c r="G10" s="596"/>
      <c r="H10" s="597"/>
      <c r="I10" s="572">
        <v>470000</v>
      </c>
      <c r="J10" s="571">
        <v>565000</v>
      </c>
      <c r="K10" s="313"/>
      <c r="L10" s="313"/>
      <c r="M10" s="313"/>
    </row>
    <row r="11" spans="1:13" s="319" customFormat="1" ht="25.5" customHeight="1">
      <c r="B11" s="33"/>
      <c r="C11" s="636" t="str">
        <f>IF('Język - Language'!$B$30="Polski","Commercial Break 1/uu na godzinę","Commercial Break 1/uu per hour")</f>
        <v>Commercial Break 1/uu na godzinę</v>
      </c>
      <c r="D11" s="637"/>
      <c r="E11" s="638"/>
      <c r="F11" s="640" t="str">
        <f>IF('Język - Language'!$B$30="Polski","Commercial Break 1/uu na godzinę","Commercial Break 1/uu per hour")</f>
        <v>Commercial Break 1/uu na godzinę</v>
      </c>
      <c r="G11" s="641"/>
      <c r="H11" s="642"/>
      <c r="I11" s="434">
        <v>380000</v>
      </c>
      <c r="J11" s="433">
        <v>450000</v>
      </c>
      <c r="K11" s="313"/>
      <c r="L11" s="313"/>
      <c r="M11" s="313"/>
    </row>
    <row r="12" spans="1:13" s="319" customFormat="1" ht="25.5" customHeight="1">
      <c r="B12" s="33"/>
      <c r="C12" s="609"/>
      <c r="D12" s="610"/>
      <c r="E12" s="611"/>
      <c r="F12" s="640" t="str">
        <f>IF('Język - Language'!$B$30="Polski","nd","n/a")</f>
        <v>nd</v>
      </c>
      <c r="G12" s="641"/>
      <c r="H12" s="642"/>
      <c r="I12" s="434">
        <v>270000</v>
      </c>
      <c r="J12" s="433">
        <v>320000</v>
      </c>
      <c r="K12" s="313"/>
      <c r="L12" s="313"/>
      <c r="M12" s="313"/>
    </row>
    <row r="13" spans="1:13" s="57" customFormat="1" ht="25.5" customHeight="1">
      <c r="A13" s="319"/>
      <c r="B13" s="604" t="str">
        <f>IF('Język - Language'!$B$30="Polski","Górny slot (pierwsza dniówka: 3 pierwsze odsłony)","Upper slot 3/uu")</f>
        <v>Górny slot (pierwsza dniówka: 3 pierwsze odsłony)</v>
      </c>
      <c r="C13" s="598" t="str">
        <f>IF('Język - Language'!$B$30="Polski","Double Billboard lub Wideboard 3/uu","Double Billboard or Wideboard 3/uu")</f>
        <v>Double Billboard lub Wideboard 3/uu</v>
      </c>
      <c r="D13" s="599"/>
      <c r="E13" s="600"/>
      <c r="F13" s="640" t="str">
        <f>IF('Język - Language'!$B$30="Polski","Banner górny 3/uu","Upper Banner 3/uu")</f>
        <v>Banner górny 3/uu</v>
      </c>
      <c r="G13" s="641"/>
      <c r="H13" s="642"/>
      <c r="I13" s="386">
        <v>570000</v>
      </c>
      <c r="J13" s="179">
        <v>680000</v>
      </c>
      <c r="K13" s="313"/>
      <c r="L13" s="313"/>
      <c r="M13" s="313"/>
    </row>
    <row r="14" spans="1:13" s="117" customFormat="1" ht="25.5" customHeight="1">
      <c r="A14" s="319"/>
      <c r="B14" s="604"/>
      <c r="C14" s="598" t="str">
        <f>IF('Język - Language'!$B$30="Polski","Gigaboard 1/uu + Mega Double Billboard 2/uu","Gigaboard 1/uu + Mega Double Billboard 2/uu")</f>
        <v>Gigaboard 1/uu + Mega Double Billboard 2/uu</v>
      </c>
      <c r="D14" s="599"/>
      <c r="E14" s="600"/>
      <c r="F14" s="640" t="str">
        <f>IF('Język - Language'!$B$30="Polski","Banner skalowany XL 1/uu + Banner skalowany 2/uu","Adjusted Banner XL 1/uu + Adjusted Banner 2/uu")</f>
        <v>Banner skalowany XL 1/uu + Banner skalowany 2/uu</v>
      </c>
      <c r="G14" s="641"/>
      <c r="H14" s="642"/>
      <c r="I14" s="386">
        <v>770000</v>
      </c>
      <c r="J14" s="179">
        <v>925000</v>
      </c>
      <c r="K14" s="313"/>
      <c r="L14" s="313"/>
      <c r="M14" s="313"/>
    </row>
    <row r="15" spans="1:13" s="94" customFormat="1" ht="25.5" customHeight="1">
      <c r="A15" s="319"/>
      <c r="B15" s="604"/>
      <c r="C15" s="598" t="str">
        <f>IF('Język - Language'!$B$30="Polski","Screening 1/uu + DBB lub Wideboard 2/uu (tablet: tylko górny format)","Screening 1/uu + DBB or Wideboard 2/uu (tablet:only upper banner)")</f>
        <v>Screening 1/uu + DBB lub Wideboard 2/uu (tablet: tylko górny format)</v>
      </c>
      <c r="D15" s="599"/>
      <c r="E15" s="600"/>
      <c r="F15" s="640" t="str">
        <f>IF('Język - Language'!$B$30="Polski","Screening lub Banner skalowany 1/uu + Banner górny 2/uu ","Screening or Adjusted Banner 1/uu + Upper Banner 2/uu ")</f>
        <v xml:space="preserve">Screening lub Banner skalowany 1/uu + Banner górny 2/uu </v>
      </c>
      <c r="G15" s="641"/>
      <c r="H15" s="642"/>
      <c r="I15" s="386">
        <v>630000</v>
      </c>
      <c r="J15" s="179">
        <v>750000</v>
      </c>
      <c r="K15" s="313"/>
      <c r="L15" s="313"/>
      <c r="M15" s="313"/>
    </row>
    <row r="16" spans="1:13" s="94" customFormat="1" ht="25.5" customHeight="1">
      <c r="A16" s="319"/>
      <c r="B16" s="604"/>
      <c r="C16" s="636" t="str">
        <f>IF('Język - Language'!$B$30="Polski","Screening 1/uu + DBB lub Wideboard 2/uu (tablet: tylko górny format)","Screening 1/uu + DBB lub Wideboard 2/uu (tablet:only upper banner)")</f>
        <v>Screening 1/uu + DBB lub Wideboard 2/uu (tablet: tylko górny format)</v>
      </c>
      <c r="D16" s="637"/>
      <c r="E16" s="638"/>
      <c r="F16" s="623" t="str">
        <f>IF('Język - Language'!$B$30="Polski","Screening 3/uu","Screening 3/uu")</f>
        <v>Screening 3/uu</v>
      </c>
      <c r="G16" s="624"/>
      <c r="H16" s="625"/>
      <c r="I16" s="643">
        <v>700000</v>
      </c>
      <c r="J16" s="634">
        <v>840000</v>
      </c>
      <c r="K16" s="313"/>
      <c r="L16" s="313"/>
      <c r="M16" s="313"/>
    </row>
    <row r="17" spans="1:13" s="57" customFormat="1" ht="25.5" customHeight="1">
      <c r="A17" s="319"/>
      <c r="B17" s="604"/>
      <c r="C17" s="609" t="str">
        <f>IF('Język - Language'!$B$30="Polski","VideoBackLayer 1/uu + DBB lub Wideboard 2/uu","VideoBackLayer 1/uu + DBB lub Wideboard 2/uu")</f>
        <v>VideoBackLayer 1/uu + DBB lub Wideboard 2/uu</v>
      </c>
      <c r="D17" s="610"/>
      <c r="E17" s="611"/>
      <c r="F17" s="595"/>
      <c r="G17" s="596"/>
      <c r="H17" s="597"/>
      <c r="I17" s="644"/>
      <c r="J17" s="635"/>
      <c r="K17" s="313"/>
      <c r="L17" s="313"/>
      <c r="M17" s="313"/>
    </row>
    <row r="18" spans="1:13" s="128" customFormat="1" ht="25.5" customHeight="1">
      <c r="A18" s="319"/>
      <c r="B18" s="604"/>
      <c r="C18" s="598" t="str">
        <f>IF('Język - Language'!$B$30="Polski","Welcome Screen 1/uu + DBB lub Wideboard 2/uu","Welcome Screen 1/uu + DBB lub Wideboard 2/uu")</f>
        <v>Welcome Screen 1/uu + DBB lub Wideboard 2/uu</v>
      </c>
      <c r="D18" s="599"/>
      <c r="E18" s="600"/>
      <c r="F18" s="640" t="str">
        <f>IF('Język - Language'!$B$30="Polski","Banner skalowany XL 1/uu + Banner skalowany 2/uu","Adjusted Banner XL 1/uu + Adjusted Banner 2/uu")</f>
        <v>Banner skalowany XL 1/uu + Banner skalowany 2/uu</v>
      </c>
      <c r="G18" s="641"/>
      <c r="H18" s="642"/>
      <c r="I18" s="386">
        <v>700000</v>
      </c>
      <c r="J18" s="179">
        <v>840000</v>
      </c>
      <c r="K18" s="313"/>
      <c r="L18" s="313"/>
      <c r="M18" s="313"/>
    </row>
    <row r="19" spans="1:13" s="94" customFormat="1" ht="25.5" customHeight="1">
      <c r="A19" s="319"/>
      <c r="B19" s="604"/>
      <c r="C19" s="598" t="str">
        <f>IF('Język - Language'!$B$30="Polski","Welcome Screen XL 1/uu + DBB lub Wideboard 2/uu","Welcome Screen XL 1/uu + DBB lub Wideboard 2/uu")</f>
        <v>Welcome Screen XL 1/uu + DBB lub Wideboard 2/uu</v>
      </c>
      <c r="D19" s="599"/>
      <c r="E19" s="600"/>
      <c r="F19" s="598" t="str">
        <f>IF('Język - Language'!$B$30="Polski","Banner skalowany XL 1/uu + Banner skalowany 2/uu","Adjusted Banner XL 1/uu + Adjusted Banner 2/uu")</f>
        <v>Banner skalowany XL 1/uu + Banner skalowany 2/uu</v>
      </c>
      <c r="G19" s="599"/>
      <c r="H19" s="600"/>
      <c r="I19" s="386">
        <v>770000</v>
      </c>
      <c r="J19" s="179">
        <v>930000</v>
      </c>
      <c r="K19" s="313"/>
      <c r="L19" s="313"/>
      <c r="M19" s="313"/>
    </row>
    <row r="20" spans="1:13" s="121" customFormat="1" ht="25.5" customHeight="1">
      <c r="B20" s="605"/>
      <c r="C20" s="63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0" s="632"/>
      <c r="E20" s="632"/>
      <c r="F20" s="632"/>
      <c r="G20" s="632"/>
      <c r="H20" s="632"/>
      <c r="I20" s="632"/>
      <c r="J20" s="633"/>
      <c r="K20" s="313"/>
      <c r="L20" s="313"/>
      <c r="M20" s="313"/>
    </row>
    <row r="21" spans="1:13" s="117" customFormat="1" ht="25.5" customHeight="1">
      <c r="B21" s="612" t="str">
        <f>IF('Język - Language'!$B$30="Polski","Druga dniówka (od 4. odsłony)","Upper slot (FF after 3rd page view)")</f>
        <v>Druga dniówka (od 4. odsłony)</v>
      </c>
      <c r="C21" s="598" t="str">
        <f>IF('Język - Language'!$B$30="Polski","Double Billboard lub Wideboard FF","Double Billboard or Wideboard FF")</f>
        <v>Double Billboard lub Wideboard FF</v>
      </c>
      <c r="D21" s="599"/>
      <c r="E21" s="600"/>
      <c r="F21" s="598" t="str">
        <f>IF('Język - Language'!$B$30="Polski","Banner górny FF","Upper Banner FF")</f>
        <v>Banner górny FF</v>
      </c>
      <c r="G21" s="599"/>
      <c r="H21" s="600"/>
      <c r="I21" s="386">
        <v>315000</v>
      </c>
      <c r="J21" s="179">
        <v>375000</v>
      </c>
      <c r="K21" s="313"/>
      <c r="L21" s="313"/>
      <c r="M21" s="313"/>
    </row>
    <row r="22" spans="1:13" s="117" customFormat="1" ht="25.5" customHeight="1">
      <c r="B22" s="613"/>
      <c r="C22" s="598" t="str">
        <f>IF('Język - Language'!$B$30="Polski","Gigaboard 1/uu + Mega Double Billboard FF","Gigaboard 1/uu + Mega Double Billboard FF")</f>
        <v>Gigaboard 1/uu + Mega Double Billboard FF</v>
      </c>
      <c r="D22" s="599"/>
      <c r="E22" s="600"/>
      <c r="F22" s="598" t="str">
        <f>IF('Język - Language'!$B$30="Polski","Banner skalowany XL FF","Adjusted Banner XL FF")</f>
        <v>Banner skalowany XL FF</v>
      </c>
      <c r="G22" s="599"/>
      <c r="H22" s="600"/>
      <c r="I22" s="386">
        <v>440000</v>
      </c>
      <c r="J22" s="179">
        <v>530000</v>
      </c>
      <c r="K22" s="313"/>
      <c r="L22" s="313"/>
      <c r="M22" s="313"/>
    </row>
    <row r="23" spans="1:13" s="94" customFormat="1" ht="25.5" customHeight="1">
      <c r="B23" s="613"/>
      <c r="C23" s="598" t="str">
        <f>IF('Język - Language'!$B$30="Polski","Welcome Screen 1/uu + DBB lub Wideboard FF","Welcome Screen 1/uu + DBB lub Wideboard FF")</f>
        <v>Welcome Screen 1/uu + DBB lub Wideboard FF</v>
      </c>
      <c r="D23" s="599"/>
      <c r="E23" s="600"/>
      <c r="F23" s="598" t="str">
        <f>IF('Język - Language'!$B$30="Polski","Banner skalowany XL FF","Adjusted Banner XL FF")</f>
        <v>Banner skalowany XL FF</v>
      </c>
      <c r="G23" s="599"/>
      <c r="H23" s="600"/>
      <c r="I23" s="386">
        <v>415000</v>
      </c>
      <c r="J23" s="179">
        <v>495000</v>
      </c>
      <c r="K23" s="313"/>
      <c r="L23" s="313"/>
      <c r="M23" s="313"/>
    </row>
    <row r="24" spans="1:13" s="57" customFormat="1" ht="25.5" customHeight="1">
      <c r="B24" s="614"/>
      <c r="C24" s="63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4" s="632"/>
      <c r="E24" s="632"/>
      <c r="F24" s="632"/>
      <c r="G24" s="632"/>
      <c r="H24" s="632"/>
      <c r="I24" s="632"/>
      <c r="J24" s="633"/>
      <c r="K24" s="313"/>
      <c r="L24" s="313"/>
      <c r="M24" s="313"/>
    </row>
    <row r="25" spans="1:13" s="57" customFormat="1" ht="12.75" customHeight="1">
      <c r="B25" s="701" t="str">
        <f>IF('Język - Language'!$B$30="Polski","Boksy w modułach tematycznych","Boxes in thematic category")</f>
        <v>Boksy w modułach tematycznych</v>
      </c>
      <c r="C25" s="598" t="s">
        <v>205</v>
      </c>
      <c r="D25" s="599"/>
      <c r="E25" s="600"/>
      <c r="F25" s="685" t="s">
        <v>205</v>
      </c>
      <c r="G25" s="686"/>
      <c r="H25" s="687"/>
      <c r="I25" s="386">
        <v>230000</v>
      </c>
      <c r="J25" s="179">
        <v>275000</v>
      </c>
      <c r="K25" s="313"/>
      <c r="L25" s="313"/>
      <c r="M25" s="313"/>
    </row>
    <row r="26" spans="1:13" s="319" customFormat="1" ht="12.75" customHeight="1">
      <c r="B26" s="701"/>
      <c r="C26" s="598" t="s">
        <v>115</v>
      </c>
      <c r="D26" s="599"/>
      <c r="E26" s="600"/>
      <c r="F26" s="685" t="s">
        <v>115</v>
      </c>
      <c r="G26" s="686"/>
      <c r="H26" s="687"/>
      <c r="I26" s="549">
        <v>190000</v>
      </c>
      <c r="J26" s="550">
        <v>225000</v>
      </c>
      <c r="K26" s="313"/>
      <c r="L26" s="313"/>
      <c r="M26" s="313"/>
    </row>
    <row r="27" spans="1:13" s="319" customFormat="1" ht="12.75" customHeight="1">
      <c r="B27" s="701"/>
      <c r="C27" s="598" t="str">
        <f>IF('Język - Language'!$B$30="Polski","Content Box XL (nad modułem Sport) FF","Content Box XL (above the category Sport) FF")</f>
        <v>Content Box XL (nad modułem Sport) FF</v>
      </c>
      <c r="D27" s="599"/>
      <c r="E27" s="600"/>
      <c r="F27" s="685" t="str">
        <f>IF('Język - Language'!$B$30="Polski","Content Box XL (Rectangle/Banner skalowany XL) w module Sport FF","Content Box XL (Rectangle/Adjusted Banner XL) above the category Sport FF")</f>
        <v>Content Box XL (Rectangle/Banner skalowany XL) w module Sport FF</v>
      </c>
      <c r="G27" s="686"/>
      <c r="H27" s="687"/>
      <c r="I27" s="539">
        <v>420000</v>
      </c>
      <c r="J27" s="544">
        <v>480000</v>
      </c>
      <c r="K27" s="313"/>
      <c r="L27" s="313"/>
      <c r="M27" s="313"/>
    </row>
    <row r="28" spans="1:13" s="57" customFormat="1" ht="12.75" customHeight="1">
      <c r="B28" s="701"/>
      <c r="C28" s="598" t="str">
        <f>IF('Język - Language'!$B$30="Polski","Content Box nad modułem Biznes FF²","Content Box above the category Business FF²")</f>
        <v>Content Box nad modułem Biznes FF²</v>
      </c>
      <c r="D28" s="599"/>
      <c r="E28" s="600"/>
      <c r="F28" s="620" t="str">
        <f>IF('Język - Language'!$B$30="Polski","Content Box (Banner/Banner skalowany) w module Biznes FF","Content Box (Banner/adjusted banner) above the category Business FF")</f>
        <v>Content Box (Banner/Banner skalowany) w module Biznes FF</v>
      </c>
      <c r="G28" s="621"/>
      <c r="H28" s="622"/>
      <c r="I28" s="386">
        <v>200000</v>
      </c>
      <c r="J28" s="179">
        <v>240000</v>
      </c>
      <c r="K28" s="313"/>
      <c r="L28" s="313"/>
      <c r="M28" s="313"/>
    </row>
    <row r="29" spans="1:13" s="57" customFormat="1" ht="12.75" customHeight="1">
      <c r="B29" s="701"/>
      <c r="C29" s="598" t="str">
        <f>IF('Język - Language'!$B$30="Polski","Content Box nad modułem Gwiazdy FF²","Content Box above the category Stars FF²")</f>
        <v>Content Box nad modułem Gwiazdy FF²</v>
      </c>
      <c r="D29" s="599"/>
      <c r="E29" s="600"/>
      <c r="F29" s="620" t="str">
        <f>IF('Język - Language'!$B$30="Polski","Content Box (Banner/Banner skalowany) nad modułem Gwiazdy FF","Content Box (Banner/adjusted banner) above the category Stars FF")</f>
        <v>Content Box (Banner/Banner skalowany) nad modułem Gwiazdy FF</v>
      </c>
      <c r="G29" s="621"/>
      <c r="H29" s="622"/>
      <c r="I29" s="386">
        <v>170000</v>
      </c>
      <c r="J29" s="179">
        <v>200000</v>
      </c>
      <c r="K29" s="313"/>
      <c r="L29" s="313"/>
      <c r="M29" s="313"/>
    </row>
    <row r="30" spans="1:13" s="57" customFormat="1" ht="12.75" customHeight="1">
      <c r="B30" s="701"/>
      <c r="C30" s="598" t="str">
        <f>IF('Język - Language'!$B$30="Polski","Content Box nad modułem Moto&amp;Tech&amp;Gry FF²","Content Box above the category Moto&amp;Tech FF²")</f>
        <v>Content Box nad modułem Moto&amp;Tech&amp;Gry FF²</v>
      </c>
      <c r="D30" s="599"/>
      <c r="E30" s="600"/>
      <c r="F30" s="620" t="str">
        <f>IF('Język - Language'!$B$30="Polski","Content Box (Banner/Banner skalowany) nad modułem Moto&amp;Tech FF","Content Box (Banner/adjusted banner) above the category Moto&amp;Tech FF")</f>
        <v>Content Box (Banner/Banner skalowany) nad modułem Moto&amp;Tech FF</v>
      </c>
      <c r="G30" s="621"/>
      <c r="H30" s="622"/>
      <c r="I30" s="386">
        <v>145000</v>
      </c>
      <c r="J30" s="179">
        <v>170000</v>
      </c>
      <c r="K30" s="313"/>
      <c r="L30" s="313"/>
      <c r="M30" s="313"/>
    </row>
    <row r="31" spans="1:13" s="57" customFormat="1" ht="12.75" customHeight="1">
      <c r="B31" s="701"/>
      <c r="C31" s="645" t="str">
        <f>IF('Język - Language'!$B$30="Polski","Content Box nad modułem Styl Życia FF²","Content Box above the category Lifestyle FF²")</f>
        <v>Content Box nad modułem Styl Życia FF²</v>
      </c>
      <c r="D31" s="646"/>
      <c r="E31" s="647"/>
      <c r="F31" s="628" t="str">
        <f>IF('Język - Language'!$B$30="Polski","Content Box (Banner/Banner skalowany) nad modułem Styl Życia FF","Content Box (Banner/adjusted banner) above the category Lifestyle FF")</f>
        <v>Content Box (Banner/Banner skalowany) nad modułem Styl Życia FF</v>
      </c>
      <c r="G31" s="629"/>
      <c r="H31" s="630"/>
      <c r="I31" s="554">
        <v>145000</v>
      </c>
      <c r="J31" s="555">
        <v>170000</v>
      </c>
      <c r="K31" s="313"/>
      <c r="L31" s="313"/>
      <c r="M31" s="313"/>
    </row>
    <row r="32" spans="1:13" s="153" customFormat="1" ht="12.75" customHeight="1">
      <c r="B32" s="447"/>
      <c r="C32" s="157"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2" s="157"/>
      <c r="E32" s="158"/>
      <c r="F32" s="159"/>
      <c r="G32" s="159"/>
      <c r="H32" s="159"/>
      <c r="I32" s="160"/>
      <c r="J32" s="446"/>
      <c r="K32" s="313"/>
      <c r="L32" s="313"/>
      <c r="M32" s="313"/>
    </row>
    <row r="33" spans="2:13" s="319" customFormat="1" ht="12.75" customHeight="1">
      <c r="B33" s="154"/>
      <c r="C33" s="161" t="str">
        <f>IF('Język - Language'!$B$30="Polski","² Content Box XL +75%","² Content Box XL +75%")</f>
        <v>² Content Box XL +75%</v>
      </c>
      <c r="D33" s="157"/>
      <c r="E33" s="158"/>
      <c r="F33" s="159"/>
      <c r="G33" s="159"/>
      <c r="H33" s="159"/>
      <c r="I33" s="160"/>
      <c r="J33" s="446"/>
      <c r="K33" s="313"/>
      <c r="L33" s="313"/>
      <c r="M33" s="313"/>
    </row>
    <row r="34" spans="2:13" s="57" customFormat="1" ht="12.75" customHeight="1">
      <c r="B34" s="319"/>
      <c r="C34" s="448" t="str">
        <f>IF('Język - Language'!$B$30="Polski","Dopłata za Retail Dniówkę +30%","+30% extra charge for special Retail Daily Emission")</f>
        <v>Dopłata za Retail Dniówkę +30%</v>
      </c>
      <c r="D34" s="161"/>
      <c r="E34" s="157"/>
      <c r="F34" s="163"/>
      <c r="G34" s="163"/>
      <c r="H34" s="163"/>
      <c r="I34" s="163"/>
      <c r="J34" s="166"/>
      <c r="K34" s="319"/>
      <c r="L34" s="319"/>
      <c r="M34" s="319"/>
    </row>
    <row r="35" spans="2:13" s="94" customFormat="1" ht="12.75" customHeight="1">
      <c r="B35" s="319"/>
      <c r="C35" s="319"/>
      <c r="D35" s="319"/>
      <c r="E35" s="319"/>
      <c r="F35" s="319"/>
      <c r="G35" s="319"/>
      <c r="H35" s="319"/>
      <c r="I35" s="319"/>
      <c r="J35" s="319"/>
      <c r="K35" s="319"/>
      <c r="L35" s="319"/>
      <c r="M35" s="319"/>
    </row>
    <row r="36" spans="2:13" s="57" customFormat="1" ht="12.75" customHeight="1">
      <c r="B36" s="319"/>
      <c r="C36" s="319"/>
      <c r="D36" s="319"/>
      <c r="E36" s="319"/>
      <c r="F36" s="319"/>
      <c r="G36" s="319"/>
      <c r="H36" s="319"/>
      <c r="I36" s="319"/>
      <c r="J36" s="319"/>
      <c r="K36" s="319"/>
      <c r="L36" s="319"/>
      <c r="M36" s="319"/>
    </row>
    <row r="37" spans="2:13" s="57" customFormat="1" ht="12.75" customHeight="1">
      <c r="B37" s="615" t="str">
        <f>IF('Język - Language'!$B$30="Polski","STRONA GŁÓWNA O2 (DESKTOP/TABLET)","O2 HOME PAGE (DESKTOP/TABLET)")</f>
        <v>STRONA GŁÓWNA O2 (DESKTOP/TABLET)</v>
      </c>
      <c r="C37" s="615"/>
      <c r="D37" s="615"/>
      <c r="E37" s="615"/>
      <c r="F37" s="615" t="str">
        <f>IF('Język - Language'!$B$30="Polski","STRONA GŁÓWNA O2 (MOBILE)¹","O2 HOME PAGE (MOBILE)¹")</f>
        <v>STRONA GŁÓWNA O2 (MOBILE)¹</v>
      </c>
      <c r="G37" s="615"/>
      <c r="H37" s="615"/>
      <c r="I37" s="615" t="str">
        <f>IF('Język - Language'!$B$30="Polski","CZAS EMISJI","TIME")</f>
        <v>CZAS EMISJI</v>
      </c>
      <c r="J37" s="650" t="str">
        <f>IF('Język - Language'!$B$30="Polski","CENA RC","PRICE")</f>
        <v>CENA RC</v>
      </c>
      <c r="K37" s="319"/>
      <c r="L37" s="319"/>
      <c r="M37" s="319"/>
    </row>
    <row r="38" spans="2:13" s="57" customFormat="1" ht="12.75" customHeight="1">
      <c r="B38" s="616"/>
      <c r="C38" s="616"/>
      <c r="D38" s="616"/>
      <c r="E38" s="616"/>
      <c r="F38" s="616"/>
      <c r="G38" s="616"/>
      <c r="H38" s="616"/>
      <c r="I38" s="616"/>
      <c r="J38" s="651"/>
      <c r="K38" s="319"/>
      <c r="L38" s="319"/>
      <c r="M38" s="319"/>
    </row>
    <row r="39" spans="2:13" s="57" customFormat="1" ht="12.75" customHeight="1">
      <c r="B39" s="695" t="str">
        <f>IF('Język - Language'!$B$30="Polski","Gigaboard FF","Gigaboard FF")</f>
        <v>Gigaboard FF</v>
      </c>
      <c r="C39" s="696"/>
      <c r="D39" s="696"/>
      <c r="E39" s="697"/>
      <c r="F39" s="702" t="str">
        <f>IF('Język - Language'!$B$30="Polski","Rectangle/Banner skalowany FF","Rectangle FF/Adjusted Banner FF")</f>
        <v>Rectangle/Banner skalowany FF</v>
      </c>
      <c r="G39" s="703"/>
      <c r="H39" s="704"/>
      <c r="I39" s="652" t="str">
        <f>IF('Język - Language'!$B$30="Polski","Flat Fee / dzień","Flat Fee / 24 h")</f>
        <v>Flat Fee / dzień</v>
      </c>
      <c r="J39" s="180">
        <v>100000</v>
      </c>
      <c r="K39" s="319"/>
      <c r="L39" s="319"/>
      <c r="M39" s="319"/>
    </row>
    <row r="40" spans="2:13" s="60" customFormat="1" ht="12.75" customHeight="1">
      <c r="B40" s="682" t="str">
        <f>IF('Język - Language'!$B$30="Polski","Billboard/Double Billboard/Wideboard FF","Billboard/Double Billboard/Wideboard")</f>
        <v>Billboard/Double Billboard/Wideboard FF</v>
      </c>
      <c r="C40" s="683"/>
      <c r="D40" s="683"/>
      <c r="E40" s="684"/>
      <c r="F40" s="606" t="str">
        <f>IF('Język - Language'!$B$30="Polski","Banner górny FF","Upper Banner FF")</f>
        <v>Banner górny FF</v>
      </c>
      <c r="G40" s="607"/>
      <c r="H40" s="608"/>
      <c r="I40" s="652"/>
      <c r="J40" s="180">
        <v>65000</v>
      </c>
      <c r="K40" s="319"/>
      <c r="L40" s="319"/>
      <c r="M40" s="319"/>
    </row>
    <row r="41" spans="2:13" s="263" customFormat="1" ht="12.75" customHeight="1">
      <c r="B41" s="617" t="str">
        <f>IF('Język - Language'!$B$30="Polski","Billboard/Double Billboard/Wideboard FF (SG O2 + WARSTWY)","Billboard/Double Billboard/Wideboard FF (O2 HOME PAGE + LAYERS)")</f>
        <v>Billboard/Double Billboard/Wideboard FF (SG O2 + WARSTWY)</v>
      </c>
      <c r="C41" s="618"/>
      <c r="D41" s="618"/>
      <c r="E41" s="619"/>
      <c r="F41" s="654" t="str">
        <f>IF('Język - Language'!$B$30="Polski","Banner górny FF","Upper Banner FF")</f>
        <v>Banner górny FF</v>
      </c>
      <c r="G41" s="655"/>
      <c r="H41" s="656"/>
      <c r="I41" s="652"/>
      <c r="J41" s="180">
        <v>97000</v>
      </c>
      <c r="K41" s="319"/>
      <c r="L41" s="319"/>
      <c r="M41" s="319"/>
    </row>
    <row r="42" spans="2:13" ht="12.75" customHeight="1">
      <c r="B42" s="682" t="str">
        <f>IF('Język - Language'!$B$30="Polski","Native Ad Stream #1, #2 FF","Native Ad Stream #1, #2 FF")</f>
        <v>Native Ad Stream #1, #2 FF</v>
      </c>
      <c r="C42" s="683"/>
      <c r="D42" s="683"/>
      <c r="E42" s="684"/>
      <c r="F42" s="606" t="str">
        <f>IF('Język - Language'!$B$30="Polski","Native Ad FF","Native Ad FF")</f>
        <v>Native Ad FF</v>
      </c>
      <c r="G42" s="607"/>
      <c r="H42" s="608"/>
      <c r="I42" s="652"/>
      <c r="J42" s="180">
        <v>22000</v>
      </c>
      <c r="K42" s="319"/>
      <c r="L42" s="319"/>
      <c r="M42" s="319"/>
    </row>
    <row r="43" spans="2:13" ht="12.75" customHeight="1">
      <c r="B43" s="606" t="str">
        <f>IF('Język - Language'!$B$30="Polski","Mid Box FF","Mid Box FF")</f>
        <v>Mid Box FF</v>
      </c>
      <c r="C43" s="607"/>
      <c r="D43" s="607"/>
      <c r="E43" s="608"/>
      <c r="F43" s="606" t="str">
        <f>IF('Język - Language'!$B$30="Polski","Banner środkowy FF","Middle Banner FF")</f>
        <v>Banner środkowy FF</v>
      </c>
      <c r="G43" s="607"/>
      <c r="H43" s="608"/>
      <c r="I43" s="652"/>
      <c r="J43" s="181">
        <v>32000</v>
      </c>
      <c r="K43" s="319"/>
      <c r="L43" s="319"/>
      <c r="M43" s="319"/>
    </row>
    <row r="44" spans="2:13" ht="12.75" customHeight="1">
      <c r="B44" s="606" t="str">
        <f>IF('Język - Language'!$B$30="Polski","Content Box FF","Content Box FF")</f>
        <v>Content Box FF</v>
      </c>
      <c r="C44" s="607"/>
      <c r="D44" s="607"/>
      <c r="E44" s="608"/>
      <c r="F44" s="606" t="str">
        <f>IF('Język - Language'!$B$30="Polski","Drugi Banner środkowy FF","2nd Middle Banner FF")</f>
        <v>Drugi Banner środkowy FF</v>
      </c>
      <c r="G44" s="607"/>
      <c r="H44" s="608"/>
      <c r="I44" s="652"/>
      <c r="J44" s="182">
        <v>22000</v>
      </c>
      <c r="K44" s="319"/>
      <c r="L44" s="319"/>
      <c r="M44" s="319"/>
    </row>
    <row r="45" spans="2:13" s="263" customFormat="1" ht="12.75" customHeight="1">
      <c r="B45" s="606" t="str">
        <f>IF('Język - Language'!$B$30="Polski","Content Box FF (SG O2 + WARSTWY)","Content Box FF (O2 HOME PAGE + LAYERS)")</f>
        <v>Content Box FF (SG O2 + WARSTWY)</v>
      </c>
      <c r="C45" s="607"/>
      <c r="D45" s="607"/>
      <c r="E45" s="608"/>
      <c r="F45" s="606" t="str">
        <f>IF('Język - Language'!$B$30="Polski","Drugi Banner środkowy FF","2nd Middle Banner FF")</f>
        <v>Drugi Banner środkowy FF</v>
      </c>
      <c r="G45" s="607"/>
      <c r="H45" s="608"/>
      <c r="I45" s="652"/>
      <c r="J45" s="182">
        <v>33000</v>
      </c>
      <c r="K45" s="319"/>
      <c r="L45" s="319"/>
      <c r="M45" s="319"/>
    </row>
    <row r="46" spans="2:13" ht="12.75" customHeight="1">
      <c r="B46" s="606" t="str">
        <f>IF('Język - Language'!$B$30="Polski","Content Box XL FF","Content Box XL FF")</f>
        <v>Content Box XL FF</v>
      </c>
      <c r="C46" s="607"/>
      <c r="D46" s="607"/>
      <c r="E46" s="608"/>
      <c r="F46" s="606" t="str">
        <f>IF('Język - Language'!$B$30="Polski","Rectangle/Banner skalowany FF","Rectangle/Adjusted Banner FF")</f>
        <v>Rectangle/Banner skalowany FF</v>
      </c>
      <c r="G46" s="607"/>
      <c r="H46" s="608"/>
      <c r="I46" s="652"/>
      <c r="J46" s="182">
        <v>38000</v>
      </c>
      <c r="K46" s="319"/>
      <c r="L46" s="319"/>
      <c r="M46" s="319"/>
    </row>
    <row r="47" spans="2:13" s="263" customFormat="1" ht="12.75" customHeight="1">
      <c r="B47" s="606" t="str">
        <f>IF('Język - Language'!$B$30="Polski","Content Box XL FF (SG O2 + WARSTWY)","Content Box XL FF (O2 HOME PAGE + LAYERS)")</f>
        <v>Content Box XL FF (SG O2 + WARSTWY)</v>
      </c>
      <c r="C47" s="607"/>
      <c r="D47" s="607"/>
      <c r="E47" s="608"/>
      <c r="F47" s="606" t="str">
        <f>IF('Język - Language'!$B$30="Polski","Rectangle/Banner skalowany FF","Rectangle/Adjusted Banner FF")</f>
        <v>Rectangle/Banner skalowany FF</v>
      </c>
      <c r="G47" s="607"/>
      <c r="H47" s="608"/>
      <c r="I47" s="652"/>
      <c r="J47" s="181">
        <v>57000</v>
      </c>
      <c r="K47" s="319"/>
    </row>
    <row r="48" spans="2:13" ht="12.75" customHeight="1">
      <c r="B48" s="690" t="str">
        <f>IF('Język - Language'!$B$30="Polski","Bottom Box FF","Bottom Box FF")</f>
        <v>Bottom Box FF</v>
      </c>
      <c r="C48" s="691"/>
      <c r="D48" s="691"/>
      <c r="E48" s="692"/>
      <c r="F48" s="698" t="str">
        <f>IF('Język - Language'!$B$30="Polski","Banner dolny FF","Bottom Banner FF")</f>
        <v>Banner dolny FF</v>
      </c>
      <c r="G48" s="699"/>
      <c r="H48" s="700"/>
      <c r="I48" s="653"/>
      <c r="J48" s="289">
        <v>16000</v>
      </c>
      <c r="K48" s="319"/>
    </row>
    <row r="49" spans="1:18" ht="12.75" customHeight="1">
      <c r="B49" s="298"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49" s="296"/>
      <c r="D49" s="296"/>
      <c r="E49" s="296"/>
      <c r="F49" s="296"/>
      <c r="G49" s="296"/>
      <c r="H49" s="296"/>
      <c r="I49" s="296"/>
      <c r="J49" s="297"/>
      <c r="K49" s="319"/>
    </row>
    <row r="50" spans="1:18">
      <c r="B50" s="155" t="str">
        <f>IF('Język - Language'!$B$30="Polski","- Dopłata za expand na desktop + tablet: +50% ","- Expand version of ad format for desktop + tablet with extra charge +50%")</f>
        <v xml:space="preserve">- Dopłata za expand na desktop + tablet: +50% </v>
      </c>
      <c r="C50" s="156"/>
      <c r="D50" s="156"/>
      <c r="E50" s="156"/>
      <c r="F50" s="156"/>
      <c r="G50" s="156"/>
      <c r="H50" s="156"/>
      <c r="I50" s="156"/>
      <c r="J50" s="165"/>
      <c r="K50" s="319"/>
    </row>
    <row r="51" spans="1:18">
      <c r="B51" s="155"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51" s="156"/>
      <c r="D51" s="156"/>
      <c r="E51" s="156"/>
      <c r="F51" s="156"/>
      <c r="G51" s="156"/>
      <c r="H51" s="156"/>
      <c r="I51" s="156"/>
      <c r="J51" s="165"/>
      <c r="K51" s="319"/>
    </row>
    <row r="52" spans="1:18" s="81" customFormat="1">
      <c r="B52" s="164"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52" s="156"/>
      <c r="D52" s="156"/>
      <c r="E52" s="156"/>
      <c r="F52" s="156"/>
      <c r="G52" s="156"/>
      <c r="H52" s="156"/>
      <c r="I52" s="156"/>
      <c r="J52" s="165"/>
      <c r="K52" s="319"/>
    </row>
    <row r="53" spans="1:18" s="94" customFormat="1">
      <c r="B53" s="319"/>
      <c r="C53" s="59"/>
      <c r="D53" s="59"/>
      <c r="E53" s="59"/>
      <c r="F53" s="59"/>
      <c r="G53" s="59"/>
      <c r="H53" s="59"/>
      <c r="I53" s="59"/>
      <c r="J53" s="59"/>
      <c r="K53" s="59"/>
    </row>
    <row r="54" spans="1:18" s="94" customFormat="1">
      <c r="B54" s="319"/>
      <c r="C54" s="319"/>
      <c r="D54" s="319"/>
      <c r="E54" s="319"/>
      <c r="F54" s="319"/>
      <c r="G54" s="319"/>
      <c r="H54" s="319"/>
      <c r="I54" s="319"/>
      <c r="J54" s="319"/>
      <c r="K54" s="319"/>
    </row>
    <row r="56" spans="1:18" ht="12.75" customHeight="1">
      <c r="B56" s="649" t="str">
        <f>IF('Język - Language'!$B$30="Polski","STRONA GŁÓWNA PUDELEK (DESKTOP/TABLET)","PUDELEK HOMEPAGE (DESKTOP/TABLET)")</f>
        <v>STRONA GŁÓWNA PUDELEK (DESKTOP/TABLET)</v>
      </c>
      <c r="C56" s="649"/>
      <c r="D56" s="649"/>
      <c r="E56" s="649"/>
      <c r="F56" s="649" t="str">
        <f>IF('Język - Language'!$B$30="Polski","STRONA GŁÓWNA PUDELEK (MOBILE)¹","PUDELEK HOMEPAGE (MOBILE)¹")</f>
        <v>STRONA GŁÓWNA PUDELEK (MOBILE)¹</v>
      </c>
      <c r="G56" s="649"/>
      <c r="H56" s="649"/>
      <c r="I56" s="649" t="str">
        <f>IF('Język - Language'!$B$30="Polski","CZAS EMISJI","TIME")</f>
        <v>CZAS EMISJI</v>
      </c>
      <c r="J56" s="648" t="str">
        <f>IF('Język - Language'!$B$30="Polski","CENA RC","PRICE")</f>
        <v>CENA RC</v>
      </c>
      <c r="K56" s="319"/>
    </row>
    <row r="57" spans="1:18">
      <c r="B57" s="649"/>
      <c r="C57" s="649"/>
      <c r="D57" s="649"/>
      <c r="E57" s="649"/>
      <c r="F57" s="649"/>
      <c r="G57" s="649"/>
      <c r="H57" s="649"/>
      <c r="I57" s="649"/>
      <c r="J57" s="648"/>
      <c r="K57" s="319"/>
    </row>
    <row r="58" spans="1:18" ht="12.75" customHeight="1">
      <c r="B58" s="617" t="str">
        <f>IF('Język - Language'!$B$30="Polski","Billboard/Double Billboard FF","Billboard/Double Billboard FF")</f>
        <v>Billboard/Double Billboard FF</v>
      </c>
      <c r="C58" s="618"/>
      <c r="D58" s="618"/>
      <c r="E58" s="619"/>
      <c r="F58" s="654" t="str">
        <f>IF('Język - Language'!$B$30="Polski","Banner górny FF","Upper Banner FF")</f>
        <v>Banner górny FF</v>
      </c>
      <c r="G58" s="655"/>
      <c r="H58" s="656"/>
      <c r="I58" s="652" t="str">
        <f>IF('Język - Language'!$B$30="Polski","Flat Fee / dzień"," Flat Fee / 24 h")</f>
        <v>Flat Fee / dzień</v>
      </c>
      <c r="J58" s="180" t="s">
        <v>131</v>
      </c>
      <c r="K58" s="319"/>
    </row>
    <row r="59" spans="1:18" ht="12.75" customHeight="1">
      <c r="B59" s="682" t="str">
        <f>IF('Język - Language'!$B$30="Polski","Screening 1/uu + Double Billboard FF (tablet: tylko górny format)","Screening 1/uu + Double Billboard FF (tablet:only upper banner)")</f>
        <v>Screening 1/uu + Double Billboard FF (tablet: tylko górny format)</v>
      </c>
      <c r="C59" s="683"/>
      <c r="D59" s="683"/>
      <c r="E59" s="684"/>
      <c r="F59" s="598" t="str">
        <f>IF('Język - Language'!$B$30="Polski","Screening 1/uu + Banner górny FF","Screening 1/uu + Upper Banner FF")</f>
        <v>Screening 1/uu + Banner górny FF</v>
      </c>
      <c r="G59" s="599"/>
      <c r="H59" s="600"/>
      <c r="I59" s="652"/>
      <c r="J59" s="181">
        <v>120000</v>
      </c>
      <c r="K59" s="319"/>
    </row>
    <row r="60" spans="1:18" s="263" customFormat="1" ht="12.75" customHeight="1">
      <c r="B60" s="682" t="str">
        <f>IF('Język - Language'!$B$30="Polski","Gigaboard 1/uu + Double Billboard FF","Gigaboard 1/uu + Double Billboard FF")</f>
        <v>Gigaboard 1/uu + Double Billboard FF</v>
      </c>
      <c r="C60" s="683"/>
      <c r="D60" s="683"/>
      <c r="E60" s="684"/>
      <c r="F60" s="598" t="str">
        <f>IF('Język - Language'!$B$30="Polski","Commercial Break 1/uu + Banner górny FF","Commercial Break 1/uu + Upper Banner FF")</f>
        <v>Commercial Break 1/uu + Banner górny FF</v>
      </c>
      <c r="G60" s="599"/>
      <c r="H60" s="600"/>
      <c r="I60" s="652"/>
      <c r="J60" s="181">
        <v>120000</v>
      </c>
      <c r="K60" s="319"/>
    </row>
    <row r="61" spans="1:18" ht="12.75" customHeight="1">
      <c r="B61" s="682" t="str">
        <f>IF('Język - Language'!$B$30="Polski","Screening 3/uu + Double Billboard FF (tablet: tylko górny format)","Screening 3/uu + Double Billboard FF (tablet:only upper banner)")</f>
        <v>Screening 3/uu + Double Billboard FF (tablet: tylko górny format)</v>
      </c>
      <c r="C61" s="683"/>
      <c r="D61" s="683"/>
      <c r="E61" s="684"/>
      <c r="F61" s="598" t="str">
        <f>IF('Język - Language'!$B$30="Polski","Screening 3/uu + Banner górny FF","Screening 3/uu + Upper Banner FF")</f>
        <v>Screening 3/uu + Banner górny FF</v>
      </c>
      <c r="G61" s="599"/>
      <c r="H61" s="600"/>
      <c r="I61" s="652"/>
      <c r="J61" s="181">
        <v>130000</v>
      </c>
      <c r="K61" s="319"/>
    </row>
    <row r="62" spans="1:18" s="162" customFormat="1" ht="12.75" customHeight="1">
      <c r="B62" s="690" t="str">
        <f>IF('Język - Language'!$B$30="Polski","Rectangle na liście artykułów FF","Rectangle in the article list FF")</f>
        <v>Rectangle na liście artykułów FF</v>
      </c>
      <c r="C62" s="691"/>
      <c r="D62" s="691"/>
      <c r="E62" s="692"/>
      <c r="F62" s="679" t="str">
        <f>IF('Język - Language'!$B$30="Polski","Rectangle FF","Rectangle FF")</f>
        <v>Rectangle FF</v>
      </c>
      <c r="G62" s="680"/>
      <c r="H62" s="681"/>
      <c r="I62" s="653"/>
      <c r="J62" s="183">
        <v>60000</v>
      </c>
      <c r="K62" s="319"/>
    </row>
    <row r="63" spans="1:18">
      <c r="A63" s="319"/>
      <c r="B63" s="16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63" s="167"/>
      <c r="D63" s="167"/>
      <c r="E63" s="167"/>
      <c r="F63" s="167"/>
      <c r="G63" s="167"/>
      <c r="H63" s="167"/>
      <c r="I63" s="167"/>
      <c r="J63" s="170"/>
      <c r="K63" s="319"/>
      <c r="L63" s="319"/>
      <c r="M63" s="319"/>
      <c r="N63" s="319"/>
      <c r="O63" s="319"/>
      <c r="P63" s="319"/>
      <c r="Q63" s="319"/>
      <c r="R63" s="319"/>
    </row>
    <row r="64" spans="1:18" s="173" customFormat="1">
      <c r="A64" s="319"/>
      <c r="B64" s="200"/>
      <c r="C64" s="319"/>
      <c r="D64" s="319"/>
      <c r="E64" s="319"/>
      <c r="F64" s="319"/>
      <c r="G64" s="319"/>
      <c r="H64" s="319"/>
      <c r="I64" s="319"/>
      <c r="J64" s="319"/>
      <c r="K64" s="313"/>
      <c r="L64" s="319"/>
      <c r="M64" s="319"/>
      <c r="N64" s="319"/>
      <c r="O64" s="319"/>
      <c r="P64" s="319"/>
      <c r="Q64" s="319"/>
      <c r="R64" s="319"/>
    </row>
    <row r="65" spans="1:18" s="173" customFormat="1">
      <c r="A65" s="319"/>
      <c r="B65" s="200"/>
      <c r="C65" s="319"/>
      <c r="D65" s="319"/>
      <c r="E65" s="319"/>
      <c r="F65" s="319"/>
      <c r="G65" s="319"/>
      <c r="H65" s="319"/>
      <c r="I65" s="319"/>
      <c r="J65" s="319"/>
      <c r="K65" s="313"/>
      <c r="L65" s="319"/>
      <c r="M65" s="319"/>
      <c r="N65" s="319"/>
      <c r="O65" s="319"/>
      <c r="P65" s="319"/>
      <c r="Q65" s="319"/>
      <c r="R65" s="319"/>
    </row>
    <row r="66" spans="1:18" s="188" customFormat="1" ht="25.5" customHeight="1">
      <c r="A66" s="319"/>
      <c r="B66" s="659" t="s">
        <v>5</v>
      </c>
      <c r="C66" s="660"/>
      <c r="D66" s="660"/>
      <c r="E66" s="661"/>
      <c r="F66" s="659" t="s">
        <v>6</v>
      </c>
      <c r="G66" s="660"/>
      <c r="H66" s="661"/>
      <c r="I66" s="201" t="str">
        <f>IF('Język - Language'!$B$30="Polski","MODEL EMISJI","MODEL OF EMISSION")</f>
        <v>MODEL EMISJI</v>
      </c>
      <c r="J66" s="201" t="str">
        <f>IF('Język - Language'!$B$30="Polski","CENA","PRICE")</f>
        <v>CENA</v>
      </c>
      <c r="K66" s="319"/>
      <c r="L66" s="319"/>
      <c r="M66" s="319"/>
      <c r="N66" s="319"/>
      <c r="O66" s="319"/>
      <c r="P66" s="319"/>
      <c r="Q66" s="319"/>
      <c r="R66" s="319"/>
    </row>
    <row r="67" spans="1:18" s="188" customFormat="1">
      <c r="A67" s="193"/>
      <c r="B67" s="706" t="s">
        <v>7</v>
      </c>
      <c r="C67" s="707"/>
      <c r="D67" s="707"/>
      <c r="E67" s="708"/>
      <c r="F67" s="706" t="str">
        <f>IF('Język - Language'!$B$30="Polski","Banner górny","Upper Banner")</f>
        <v>Banner górny</v>
      </c>
      <c r="G67" s="707"/>
      <c r="H67" s="708"/>
      <c r="I67" s="709" t="str">
        <f>IF('Język - Language'!$B$30="Polski","Flat Fee / tydzień","Flat Fee / 1 week")</f>
        <v>Flat Fee / tydzień</v>
      </c>
      <c r="J67" s="191">
        <v>78000</v>
      </c>
      <c r="K67" s="319"/>
      <c r="L67" s="319"/>
      <c r="M67" s="319"/>
      <c r="N67" s="319"/>
      <c r="O67" s="319"/>
      <c r="P67" s="319"/>
      <c r="Q67" s="319"/>
      <c r="R67" s="319"/>
    </row>
    <row r="68" spans="1:18" s="173" customFormat="1">
      <c r="A68" s="193"/>
      <c r="B68" s="598" t="s">
        <v>8</v>
      </c>
      <c r="C68" s="599"/>
      <c r="D68" s="599"/>
      <c r="E68" s="600"/>
      <c r="F68" s="598" t="str">
        <f>IF('Język - Language'!$B$30="Polski","Banner skalowany XL","Adjusted Banner XL")</f>
        <v>Banner skalowany XL</v>
      </c>
      <c r="G68" s="599"/>
      <c r="H68" s="600"/>
      <c r="I68" s="710"/>
      <c r="J68" s="190">
        <v>105000</v>
      </c>
      <c r="K68" s="319"/>
      <c r="L68" s="319"/>
      <c r="M68" s="319"/>
      <c r="N68" s="319"/>
      <c r="O68" s="319"/>
      <c r="P68" s="319"/>
      <c r="Q68" s="319"/>
      <c r="R68" s="319"/>
    </row>
    <row r="69" spans="1:18" s="173" customFormat="1">
      <c r="A69" s="193"/>
      <c r="B69" s="598" t="s">
        <v>9</v>
      </c>
      <c r="C69" s="599"/>
      <c r="D69" s="599"/>
      <c r="E69" s="600"/>
      <c r="F69" s="598" t="str">
        <f>IF('Język - Language'!$B$30="Polski","Banner górny XL","Upper Banner XL")</f>
        <v>Banner górny XL</v>
      </c>
      <c r="G69" s="599"/>
      <c r="H69" s="600"/>
      <c r="I69" s="710"/>
      <c r="J69" s="190">
        <v>120000</v>
      </c>
      <c r="K69" s="319"/>
      <c r="L69" s="319"/>
      <c r="M69" s="319"/>
      <c r="N69" s="319"/>
      <c r="O69" s="319"/>
      <c r="P69" s="319"/>
      <c r="Q69" s="319"/>
      <c r="R69" s="319"/>
    </row>
    <row r="70" spans="1:18" s="173" customFormat="1">
      <c r="A70" s="193"/>
      <c r="B70" s="598" t="s">
        <v>10</v>
      </c>
      <c r="C70" s="599"/>
      <c r="D70" s="599"/>
      <c r="E70" s="600"/>
      <c r="F70" s="598" t="str">
        <f>IF('Język - Language'!$B$30="Polski","Rectangle nr 1","Rectangle no.1")</f>
        <v>Rectangle nr 1</v>
      </c>
      <c r="G70" s="599"/>
      <c r="H70" s="600"/>
      <c r="I70" s="710"/>
      <c r="J70" s="189">
        <v>45000</v>
      </c>
      <c r="K70" s="319"/>
      <c r="L70" s="319"/>
      <c r="M70" s="319"/>
      <c r="N70" s="319"/>
      <c r="O70" s="319"/>
      <c r="P70" s="319"/>
      <c r="Q70" s="319"/>
      <c r="R70" s="319"/>
    </row>
    <row r="71" spans="1:18" s="173" customFormat="1">
      <c r="A71" s="193"/>
      <c r="B71" s="679" t="s">
        <v>11</v>
      </c>
      <c r="C71" s="680"/>
      <c r="D71" s="680"/>
      <c r="E71" s="681"/>
      <c r="F71" s="645" t="str">
        <f>IF('Język - Language'!$B$30="Polski","Banner skalowany","Adjusted Banner")</f>
        <v>Banner skalowany</v>
      </c>
      <c r="G71" s="646"/>
      <c r="H71" s="647"/>
      <c r="I71" s="711"/>
      <c r="J71" s="405">
        <v>52000</v>
      </c>
      <c r="K71" s="319"/>
      <c r="L71" s="319"/>
      <c r="M71" s="319"/>
      <c r="N71" s="319"/>
      <c r="O71" s="319"/>
      <c r="P71" s="319"/>
      <c r="Q71" s="319"/>
      <c r="R71" s="319"/>
    </row>
    <row r="72" spans="1:18" s="173" customFormat="1">
      <c r="A72" s="319"/>
      <c r="B72" s="161" t="str">
        <f>IF('Język - Language'!$B$30="Polski","¹ dopłata do formatu 1200x200 px 25%","¹ Extra charge for 1200x200 px format +25%")</f>
        <v>¹ dopłata do formatu 1200x200 px 25%</v>
      </c>
      <c r="C72" s="167"/>
      <c r="D72" s="167"/>
      <c r="E72" s="167"/>
      <c r="F72" s="184"/>
      <c r="G72" s="184"/>
      <c r="H72" s="167"/>
      <c r="I72" s="167"/>
      <c r="J72" s="168"/>
      <c r="K72" s="319"/>
      <c r="L72" s="319"/>
      <c r="M72" s="319"/>
      <c r="N72" s="319"/>
      <c r="O72" s="319"/>
      <c r="P72" s="319"/>
      <c r="Q72" s="319"/>
      <c r="R72" s="319"/>
    </row>
    <row r="73" spans="1:18" s="173" customFormat="1">
      <c r="A73" s="319"/>
      <c r="B73" s="161" t="str">
        <f>IF('Język - Language'!$B$30="Polski","² Content Box XL +75%","² Content Box XL +75%")</f>
        <v>² Content Box XL +75%</v>
      </c>
      <c r="C73" s="167"/>
      <c r="D73" s="167"/>
      <c r="E73" s="167"/>
      <c r="F73" s="167"/>
      <c r="G73" s="167"/>
      <c r="H73" s="167"/>
      <c r="I73" s="167"/>
      <c r="J73" s="170"/>
      <c r="K73" s="319"/>
      <c r="L73" s="319"/>
      <c r="M73" s="319"/>
      <c r="N73" s="319"/>
      <c r="O73" s="319"/>
      <c r="P73" s="319"/>
      <c r="Q73" s="319"/>
      <c r="R73" s="319"/>
    </row>
    <row r="74" spans="1:18" s="192" customFormat="1">
      <c r="A74" s="319"/>
      <c r="B74" s="200"/>
      <c r="C74" s="319"/>
      <c r="D74" s="319"/>
      <c r="E74" s="319"/>
      <c r="F74" s="319"/>
      <c r="G74" s="319"/>
      <c r="H74" s="319"/>
      <c r="I74" s="319"/>
      <c r="J74" s="319"/>
      <c r="K74" s="319"/>
      <c r="L74" s="319"/>
      <c r="M74" s="319"/>
      <c r="N74" s="319"/>
      <c r="O74" s="319"/>
      <c r="P74" s="319"/>
      <c r="Q74" s="319"/>
      <c r="R74" s="319"/>
    </row>
    <row r="75" spans="1:18" s="192" customFormat="1">
      <c r="A75" s="319"/>
      <c r="B75" s="200"/>
      <c r="C75" s="319"/>
      <c r="D75" s="319"/>
      <c r="E75" s="319"/>
      <c r="F75" s="319"/>
      <c r="G75" s="319"/>
      <c r="H75" s="319"/>
      <c r="I75" s="319"/>
      <c r="J75" s="319"/>
      <c r="K75" s="319"/>
      <c r="L75" s="319"/>
      <c r="M75" s="319"/>
      <c r="N75" s="319"/>
      <c r="O75" s="319"/>
      <c r="P75" s="319"/>
      <c r="Q75" s="319"/>
      <c r="R75" s="319"/>
    </row>
    <row r="76" spans="1:18" s="192" customFormat="1" ht="25.5" customHeight="1">
      <c r="A76" s="319"/>
      <c r="B76" s="678" t="str">
        <f>IF('Język - Language'!$B$30="Polski","STRONA GŁÓWNA SPORTOWEFAKTY (DESKTOP/TABLET)","SPORTOWEFAKTY HOMEPAGE (DESKTOP/TABLET)")</f>
        <v>STRONA GŁÓWNA SPORTOWEFAKTY (DESKTOP/TABLET)</v>
      </c>
      <c r="C76" s="678"/>
      <c r="D76" s="678"/>
      <c r="E76" s="678"/>
      <c r="F76" s="678" t="str">
        <f>IF('Język - Language'!$B$30="Polski","STRONA GŁÓWNA SPORTOWEFAKTY (MOBILE)¹","SPORTOWEFAKTY HOMEPAGE (MOBILE)¹")</f>
        <v>STRONA GŁÓWNA SPORTOWEFAKTY (MOBILE)¹</v>
      </c>
      <c r="G76" s="678"/>
      <c r="H76" s="678"/>
      <c r="I76" s="376" t="str">
        <f>IF('Język - Language'!$B$30="Polski","CZAS EMISJI","TIME")</f>
        <v>CZAS EMISJI</v>
      </c>
      <c r="J76" s="221" t="str">
        <f>IF('Język - Language'!$B$30="Polski","CENA","PRICE")</f>
        <v>CENA</v>
      </c>
      <c r="K76" s="319"/>
      <c r="L76" s="319"/>
      <c r="M76" s="319"/>
      <c r="N76" s="319"/>
      <c r="O76" s="319"/>
      <c r="P76" s="319"/>
      <c r="Q76" s="319"/>
      <c r="R76" s="319"/>
    </row>
    <row r="77" spans="1:18" s="192" customFormat="1">
      <c r="A77" s="193"/>
      <c r="B77" s="662" t="str">
        <f>IF('Język - Language'!$B$30="Polski","Content Box","Content Box")</f>
        <v>Content Box</v>
      </c>
      <c r="C77" s="663"/>
      <c r="D77" s="663"/>
      <c r="E77" s="664"/>
      <c r="F77" s="662" t="str">
        <f>IF('Język - Language'!$B$30="Polski","Rectangle","Rectangle")</f>
        <v>Rectangle</v>
      </c>
      <c r="G77" s="663"/>
      <c r="H77" s="664"/>
      <c r="I77" s="220" t="str">
        <f>IF('Język - Language'!$B$30="Polski","Flat Fee / dzień","Flat Fee / 24 h")</f>
        <v>Flat Fee / dzień</v>
      </c>
      <c r="J77" s="187">
        <v>20000</v>
      </c>
      <c r="K77" s="319"/>
      <c r="L77" s="319"/>
      <c r="M77" s="319"/>
      <c r="N77" s="319"/>
      <c r="O77" s="319"/>
      <c r="P77" s="319"/>
      <c r="Q77" s="319"/>
      <c r="R77" s="319"/>
    </row>
    <row r="78" spans="1:18" s="192" customFormat="1">
      <c r="A78" s="193"/>
      <c r="B78" s="662"/>
      <c r="C78" s="663"/>
      <c r="D78" s="663"/>
      <c r="E78" s="664"/>
      <c r="F78" s="662"/>
      <c r="G78" s="663"/>
      <c r="H78" s="664"/>
      <c r="I78" s="395" t="str">
        <f>IF('Język - Language'!$B$30="Polski","Flat Fee / tydzień","Flat Fee / 1 week")</f>
        <v>Flat Fee / tydzień</v>
      </c>
      <c r="J78" s="186">
        <v>100000</v>
      </c>
      <c r="K78" s="319"/>
      <c r="L78" s="319"/>
      <c r="M78" s="319"/>
      <c r="N78" s="319"/>
      <c r="O78" s="319"/>
      <c r="P78" s="319"/>
      <c r="Q78" s="319"/>
      <c r="R78" s="319"/>
    </row>
    <row r="79" spans="1:18" s="192" customFormat="1" ht="25.5" customHeight="1">
      <c r="A79" s="319"/>
      <c r="B79" s="678" t="s">
        <v>12</v>
      </c>
      <c r="C79" s="678"/>
      <c r="D79" s="678"/>
      <c r="E79" s="678"/>
      <c r="F79" s="678" t="s">
        <v>13</v>
      </c>
      <c r="G79" s="678"/>
      <c r="H79" s="678"/>
      <c r="I79" s="376" t="str">
        <f>IF('Język - Language'!$B$30="Polski","CZAS EMISJI","TIME")</f>
        <v>CZAS EMISJI</v>
      </c>
      <c r="J79" s="221" t="str">
        <f>IF('Język - Language'!$B$30="Polski","CENA","PRICE")</f>
        <v>CENA</v>
      </c>
      <c r="K79" s="319"/>
      <c r="L79" s="319"/>
      <c r="M79" s="319"/>
      <c r="N79" s="319"/>
      <c r="O79" s="319"/>
      <c r="P79" s="319"/>
      <c r="Q79" s="319"/>
      <c r="R79" s="319"/>
    </row>
    <row r="80" spans="1:18" s="192" customFormat="1" ht="25.5" customHeight="1">
      <c r="A80" s="193"/>
      <c r="B80" s="672" t="str">
        <f>IF('Język - Language'!$B$30="Polski","Double Billboard","Double Billboard")</f>
        <v>Double Billboard</v>
      </c>
      <c r="C80" s="673"/>
      <c r="D80" s="673"/>
      <c r="E80" s="674"/>
      <c r="F80" s="672" t="str">
        <f>IF('Język - Language'!$B$30="Polski","Banner górny","Upper Banner")</f>
        <v>Banner górny</v>
      </c>
      <c r="G80" s="673"/>
      <c r="H80" s="674"/>
      <c r="I80" s="220" t="str">
        <f>IF('Język - Language'!$B$30="Polski","Flat Fee / dzień","Flat Fee / 24 h")</f>
        <v>Flat Fee / dzień</v>
      </c>
      <c r="J80" s="542">
        <v>160000</v>
      </c>
      <c r="K80" s="319"/>
      <c r="L80" s="319"/>
      <c r="M80" s="319"/>
      <c r="N80" s="319"/>
      <c r="O80" s="319"/>
      <c r="P80" s="319"/>
      <c r="Q80" s="319"/>
      <c r="R80" s="319"/>
    </row>
    <row r="81" spans="1:18" s="319" customFormat="1" ht="25.5" customHeight="1">
      <c r="A81" s="193"/>
      <c r="B81" s="672" t="s">
        <v>199</v>
      </c>
      <c r="C81" s="673"/>
      <c r="D81" s="673"/>
      <c r="E81" s="674"/>
      <c r="F81" s="536" t="s">
        <v>202</v>
      </c>
      <c r="G81" s="537"/>
      <c r="H81" s="538"/>
      <c r="I81" s="220" t="s">
        <v>201</v>
      </c>
      <c r="J81" s="543">
        <v>120000</v>
      </c>
    </row>
    <row r="82" spans="1:18" s="319" customFormat="1" ht="25.5" customHeight="1">
      <c r="A82" s="193"/>
      <c r="B82" s="666" t="s">
        <v>200</v>
      </c>
      <c r="C82" s="667"/>
      <c r="D82" s="667"/>
      <c r="E82" s="668"/>
      <c r="F82" s="528" t="s">
        <v>203</v>
      </c>
      <c r="G82" s="528"/>
      <c r="H82" s="529"/>
      <c r="I82" s="534" t="s">
        <v>201</v>
      </c>
      <c r="J82" s="530">
        <v>155000</v>
      </c>
    </row>
    <row r="83" spans="1:18" s="319" customFormat="1" ht="12.75" customHeight="1">
      <c r="A83" s="313"/>
      <c r="B83" s="332"/>
      <c r="C83" s="332"/>
      <c r="D83" s="332"/>
      <c r="E83" s="332"/>
      <c r="F83" s="332"/>
      <c r="G83" s="332"/>
      <c r="H83" s="332"/>
      <c r="I83" s="332"/>
      <c r="J83" s="340"/>
    </row>
    <row r="84" spans="1:18" s="319" customFormat="1" ht="12.75" customHeight="1">
      <c r="A84" s="313"/>
      <c r="B84" s="332"/>
      <c r="C84" s="332"/>
      <c r="D84" s="332"/>
      <c r="E84" s="332"/>
      <c r="F84" s="332"/>
      <c r="G84" s="332"/>
      <c r="H84" s="332"/>
      <c r="I84" s="332"/>
      <c r="J84" s="340"/>
    </row>
    <row r="85" spans="1:18" s="319" customFormat="1" ht="12.75" customHeight="1">
      <c r="A85" s="313"/>
      <c r="B85" s="332"/>
      <c r="C85" s="332"/>
      <c r="D85" s="332"/>
      <c r="E85" s="332"/>
      <c r="F85" s="332"/>
      <c r="G85" s="332"/>
      <c r="H85" s="332"/>
      <c r="I85" s="332"/>
      <c r="J85" s="340"/>
    </row>
    <row r="86" spans="1:18" s="319" customFormat="1" ht="25.5" customHeight="1">
      <c r="A86" s="313"/>
      <c r="B86" s="665" t="s">
        <v>14</v>
      </c>
      <c r="C86" s="665"/>
      <c r="D86" s="665"/>
      <c r="E86" s="665"/>
      <c r="F86" s="665" t="s">
        <v>130</v>
      </c>
      <c r="G86" s="665"/>
      <c r="H86" s="665"/>
      <c r="I86" s="374" t="str">
        <f>IF('Język - Language'!$B$30="Polski","CZAS EMISJI","TIME")</f>
        <v>CZAS EMISJI</v>
      </c>
      <c r="J86" s="343" t="str">
        <f>IF('Język - Language'!$B$30="Polski","CENA","PRICE")</f>
        <v>CENA</v>
      </c>
    </row>
    <row r="87" spans="1:18" s="319" customFormat="1" ht="12.75" customHeight="1">
      <c r="A87" s="193"/>
      <c r="B87" s="669" t="s">
        <v>15</v>
      </c>
      <c r="C87" s="670"/>
      <c r="D87" s="670"/>
      <c r="E87" s="671"/>
      <c r="F87" s="669" t="str">
        <f>IF('Język - Language'!$B$30="Polski","Banner skalowany capp 1/uu","Adjusted Banner capp 1/uu")</f>
        <v>Banner skalowany capp 1/uu</v>
      </c>
      <c r="G87" s="670"/>
      <c r="H87" s="671"/>
      <c r="I87" s="341" t="str">
        <f>IF('Język - Language'!$B$30="Polski","Flat Fee / dzień","Flat Fee / 24 h")</f>
        <v>Flat Fee / dzień</v>
      </c>
      <c r="J87" s="342">
        <v>25000</v>
      </c>
    </row>
    <row r="88" spans="1:18" s="319" customFormat="1" ht="12.75" customHeight="1">
      <c r="A88" s="193"/>
      <c r="B88" s="672"/>
      <c r="C88" s="673"/>
      <c r="D88" s="673"/>
      <c r="E88" s="674"/>
      <c r="F88" s="672"/>
      <c r="G88" s="673"/>
      <c r="H88" s="674"/>
      <c r="I88" s="393" t="str">
        <f>IF('Język - Language'!$B$30="Polski","Flat Fee / tydzień","Flat Fee / 1 week")</f>
        <v>Flat Fee / tydzień</v>
      </c>
      <c r="J88" s="187">
        <v>140000</v>
      </c>
    </row>
    <row r="89" spans="1:18" s="319" customFormat="1" ht="12.75" customHeight="1">
      <c r="A89" s="193"/>
      <c r="B89" s="662" t="s">
        <v>16</v>
      </c>
      <c r="C89" s="663"/>
      <c r="D89" s="663"/>
      <c r="E89" s="664"/>
      <c r="F89" s="675" t="str">
        <f>IF('Język - Language'!$B$30="Polski","Banner górny capp 3/uu","Upper Banner capp 3/uu")</f>
        <v>Banner górny capp 3/uu</v>
      </c>
      <c r="G89" s="676"/>
      <c r="H89" s="677"/>
      <c r="I89" s="344" t="str">
        <f>IF('Język - Language'!$B$30="Polski","Flat Fee / dzień","Flat Fee / 24 h")</f>
        <v>Flat Fee / dzień</v>
      </c>
      <c r="J89" s="396">
        <v>15000</v>
      </c>
    </row>
    <row r="90" spans="1:18" s="319" customFormat="1" ht="12.75" customHeight="1">
      <c r="A90" s="193"/>
      <c r="B90" s="666"/>
      <c r="C90" s="667"/>
      <c r="D90" s="667"/>
      <c r="E90" s="668"/>
      <c r="F90" s="666"/>
      <c r="G90" s="667"/>
      <c r="H90" s="668"/>
      <c r="I90" s="392" t="str">
        <f>IF('Język - Language'!$B$30="Polski","Flat Fee / tydzień","Flat Fee / 1 week")</f>
        <v>Flat Fee / tydzień</v>
      </c>
      <c r="J90" s="185">
        <v>90000</v>
      </c>
    </row>
    <row r="91" spans="1:18" s="192" customFormat="1">
      <c r="A91" s="319"/>
      <c r="B91" s="200"/>
      <c r="C91" s="319"/>
      <c r="D91" s="319"/>
      <c r="E91" s="319"/>
      <c r="F91" s="319"/>
      <c r="G91" s="319"/>
      <c r="H91" s="319"/>
      <c r="I91" s="319"/>
      <c r="J91" s="319"/>
      <c r="K91" s="319"/>
      <c r="L91" s="319"/>
      <c r="M91" s="319"/>
      <c r="N91" s="319"/>
      <c r="O91" s="319"/>
      <c r="P91" s="319"/>
      <c r="Q91" s="319"/>
      <c r="R91" s="319"/>
    </row>
    <row r="93" spans="1:18" s="67" customFormat="1" ht="22.35" customHeight="1">
      <c r="A93" s="319"/>
      <c r="B93" s="171"/>
      <c r="C93" s="688" t="str">
        <f>IF('Język - Language'!$B$30="Polski","DNIÓWKI TEMATYCZNE","DAILY THEMATIC EMISSION")</f>
        <v>DNIÓWKI TEMATYCZNE</v>
      </c>
      <c r="D93" s="688" t="str">
        <f>IF('Język - Language'!$B$30="Polski","MIEJSCE EMISJI","PLACE OF EMISSION")</f>
        <v>MIEJSCE EMISJI</v>
      </c>
      <c r="E93" s="688"/>
      <c r="F93" s="688" t="str">
        <f>IF('Język - Language'!$B$30="Polski","MODEL EMISJI","MODEL OF EMISSION")</f>
        <v>MODEL EMISJI</v>
      </c>
      <c r="G93" s="688" t="str">
        <f>IF('Język - Language'!$B$30="Polski","DOUBLE BILLBOARD, HALFPAGE (DESKTOP/TABLET)","DOUBLE BILLBOARD, HALFPAGE (DESKTOP/TABLET)")</f>
        <v>DOUBLE BILLBOARD, HALFPAGE (DESKTOP/TABLET)</v>
      </c>
      <c r="H93" s="688"/>
      <c r="I93" s="688" t="str">
        <f>IF('Język - Language'!$B$30="Polski","SCREENING 200 + DOUBLE BILLBOARD (DESKTOP/TABLET)","SCREENING 200 + DOUBLE BILLBOARD (DESKTOP/TABLET)")</f>
        <v>SCREENING 200 + DOUBLE BILLBOARD (DESKTOP/TABLET)</v>
      </c>
      <c r="J93" s="712"/>
      <c r="K93" s="319"/>
      <c r="L93" s="20"/>
      <c r="M93" s="6"/>
      <c r="N93" s="28"/>
      <c r="O93" s="313"/>
      <c r="P93" s="313"/>
      <c r="Q93" s="313"/>
      <c r="R93" s="319"/>
    </row>
    <row r="94" spans="1:18" s="132" customFormat="1" ht="16.350000000000001" customHeight="1">
      <c r="A94" s="319"/>
      <c r="B94" s="172"/>
      <c r="C94" s="689"/>
      <c r="D94" s="689"/>
      <c r="E94" s="689"/>
      <c r="F94" s="689"/>
      <c r="G94" s="705" t="str">
        <f>IF('Język - Language'!$B$30="Polski","BANNER GÓRNY (MOBILE)","UPPER BANNER (MOBILE)")</f>
        <v>BANNER GÓRNY (MOBILE)</v>
      </c>
      <c r="H94" s="705"/>
      <c r="I94" s="705" t="str">
        <f>IF('Język - Language'!$B$30="Polski","SCREENING LUB BANNER XL (MOBILE)²","SCREENING OR BANNER XL (MOBILE)²")</f>
        <v>SCREENING LUB BANNER XL (MOBILE)²</v>
      </c>
      <c r="J94" s="713"/>
      <c r="K94" s="319"/>
      <c r="L94" s="20"/>
      <c r="M94" s="6"/>
      <c r="N94" s="28"/>
      <c r="O94" s="313"/>
      <c r="P94" s="313"/>
      <c r="Q94" s="313"/>
      <c r="R94" s="319"/>
    </row>
    <row r="95" spans="1:18" s="99" customFormat="1" ht="48" customHeight="1">
      <c r="A95" s="319"/>
      <c r="B95" s="601" t="str">
        <f>IF('Język - Language'!$B$30="Polski","Serwisy Premium","Premium Sites")</f>
        <v>Serwisy Premium</v>
      </c>
      <c r="C95" s="603"/>
      <c r="D95" s="601" t="s">
        <v>17</v>
      </c>
      <c r="E95" s="602"/>
      <c r="F95" s="174" t="str">
        <f>IF('Język - Language'!$B$30="Polski","łączny cap3xuu / dzień","cap3xuu (total 3 page views / day)")</f>
        <v>łączny cap3xuu / dzień</v>
      </c>
      <c r="G95" s="657" t="str">
        <f>IF('Język - Language'!$B$30="Polski",CONCATENATE("225 000 PLN dzień powszedni",CHAR(10),CHAR(10),"180 000 PLN dzień weekendowy"),CONCATENATE("225 000 PLN - workday",CHAR(10),CHAR(10),"180 000 PLN - weekend"))</f>
        <v>225 000 PLN dzień powszedni
180 000 PLN dzień weekendowy</v>
      </c>
      <c r="H95" s="658"/>
      <c r="I95" s="657" t="str">
        <f>IF('Język - Language'!$B$30="Polski",CONCATENATE("275 000 PLN dzień powszedni",CHAR(10),CHAR(10),"225 000 PLN dzień weekendowy"),CONCATENATE("275 000 PLN - workday",CHAR(10),CHAR(10),"225 000 PLN - weekend"))</f>
        <v>275 000 PLN dzień powszedni
225 000 PLN dzień weekendowy</v>
      </c>
      <c r="J95" s="658"/>
      <c r="K95" s="319"/>
      <c r="L95" s="19"/>
      <c r="M95" s="6"/>
      <c r="N95" s="28"/>
      <c r="O95" s="313"/>
      <c r="P95" s="313"/>
      <c r="Q95" s="313"/>
      <c r="R95" s="319"/>
    </row>
    <row r="96" spans="1:18" s="67" customFormat="1" ht="24.95" customHeight="1">
      <c r="A96" s="319"/>
      <c r="B96" s="598" t="str">
        <f>IF('Język - Language'!$B$30="Polski","Biznes","Business")</f>
        <v>Biznes</v>
      </c>
      <c r="C96" s="600"/>
      <c r="D96" s="598" t="s">
        <v>18</v>
      </c>
      <c r="E96" s="600"/>
      <c r="F96" s="401" t="str">
        <f>IF('Język - Language'!$B$30="Polski","łączny cap3xuu / dzień","cap3xuu (total 3 page views / day)")</f>
        <v>łączny cap3xuu / dzień</v>
      </c>
      <c r="G96" s="693">
        <v>180000</v>
      </c>
      <c r="H96" s="694"/>
      <c r="I96" s="693">
        <v>240000</v>
      </c>
      <c r="J96" s="694"/>
      <c r="K96" s="319"/>
      <c r="L96" s="19"/>
      <c r="M96" s="6"/>
      <c r="N96" s="28"/>
      <c r="O96" s="313"/>
      <c r="P96" s="313"/>
      <c r="Q96" s="313"/>
      <c r="R96" s="319"/>
    </row>
    <row r="97" spans="2:16" s="67" customFormat="1" ht="24.95" customHeight="1">
      <c r="B97" s="598" t="str">
        <f>IF('Język - Language'!$B$30="Polski","Wiadomości","News")</f>
        <v>Wiadomości</v>
      </c>
      <c r="C97" s="600"/>
      <c r="D97" s="598" t="s">
        <v>19</v>
      </c>
      <c r="E97" s="600"/>
      <c r="F97" s="299" t="str">
        <f>IF('Język - Language'!$B$30="Polski","łączny cap3xuu / dzień","cap3xuu (total 3 page views / day)")</f>
        <v>łączny cap3xuu / dzień</v>
      </c>
      <c r="G97" s="693">
        <v>160000</v>
      </c>
      <c r="H97" s="694"/>
      <c r="I97" s="693">
        <v>210000</v>
      </c>
      <c r="J97" s="694"/>
      <c r="K97" s="319"/>
      <c r="L97" s="19"/>
      <c r="M97" s="6"/>
      <c r="N97" s="28"/>
      <c r="O97" s="313"/>
      <c r="P97" s="313"/>
    </row>
    <row r="98" spans="2:16" s="67" customFormat="1" ht="24.95" customHeight="1">
      <c r="B98" s="598" t="str">
        <f>IF('Język - Language'!$B$30="Polski","Motoryzacja","Moto")</f>
        <v>Motoryzacja</v>
      </c>
      <c r="C98" s="600"/>
      <c r="D98" s="598" t="s">
        <v>20</v>
      </c>
      <c r="E98" s="599"/>
      <c r="F98" s="175" t="str">
        <f>IF('Język - Language'!$B$30="Polski","łączny cap3xuu / dzień","cap3xuu (total 3 page views / day)")</f>
        <v>łączny cap3xuu / dzień</v>
      </c>
      <c r="G98" s="693">
        <v>30000</v>
      </c>
      <c r="H98" s="694"/>
      <c r="I98" s="693">
        <v>40000</v>
      </c>
      <c r="J98" s="694"/>
      <c r="K98" s="319"/>
      <c r="L98" s="19"/>
      <c r="M98" s="6"/>
      <c r="N98" s="28"/>
      <c r="O98" s="313"/>
      <c r="P98" s="313"/>
    </row>
    <row r="99" spans="2:16" s="263" customFormat="1" ht="24.95" customHeight="1">
      <c r="B99" s="598" t="s">
        <v>21</v>
      </c>
      <c r="C99" s="600"/>
      <c r="D99" s="598" t="s">
        <v>22</v>
      </c>
      <c r="E99" s="600"/>
      <c r="F99" s="175" t="str">
        <f>IF('Język - Language'!$B$30="Polski","łączny cap3xuu / dzień","cap3xuu (total 3 page views / day)")</f>
        <v>łączny cap3xuu / dzień</v>
      </c>
      <c r="G99" s="693">
        <v>50000</v>
      </c>
      <c r="H99" s="694"/>
      <c r="I99" s="693">
        <v>80000</v>
      </c>
      <c r="J99" s="694"/>
      <c r="K99" s="319"/>
      <c r="L99" s="19"/>
      <c r="M99" s="6"/>
      <c r="N99" s="28"/>
      <c r="O99" s="313"/>
      <c r="P99" s="313"/>
    </row>
    <row r="100" spans="2:16" s="67" customFormat="1" ht="24.95" customHeight="1">
      <c r="B100" s="598" t="str">
        <f>IF('Język - Language'!$B$30="Polski","Kobieta","Woman")</f>
        <v>Kobieta</v>
      </c>
      <c r="C100" s="600"/>
      <c r="D100" s="598" t="s">
        <v>23</v>
      </c>
      <c r="E100" s="599"/>
      <c r="F100" s="175" t="str">
        <f>IF('Język - Language'!$B$30="Polski","łączny cap3xuu / dzień","cap3xuu (total 3 page views / day)")</f>
        <v>łączny cap3xuu / dzień</v>
      </c>
      <c r="G100" s="693">
        <v>70000</v>
      </c>
      <c r="H100" s="694"/>
      <c r="I100" s="693">
        <v>93000</v>
      </c>
      <c r="J100" s="694"/>
      <c r="K100" s="319"/>
      <c r="L100" s="19"/>
      <c r="M100" s="6"/>
      <c r="N100" s="28"/>
      <c r="O100" s="29"/>
      <c r="P100" s="5"/>
    </row>
    <row r="101" spans="2:16" s="131" customFormat="1" ht="24.95" customHeight="1">
      <c r="B101" s="598" t="str">
        <f>IF('Język - Language'!$B$30="Polski","Zdrowie ","Health")</f>
        <v xml:space="preserve">Zdrowie </v>
      </c>
      <c r="C101" s="600"/>
      <c r="D101" s="598" t="s">
        <v>24</v>
      </c>
      <c r="E101" s="599"/>
      <c r="F101" s="175" t="str">
        <f>IF('Język - Language'!$B$30="Polski","łączny cap3xuu / dzień","cap3xuu (total 3 page views / day)")</f>
        <v>łączny cap3xuu / dzień</v>
      </c>
      <c r="G101" s="693">
        <v>150000</v>
      </c>
      <c r="H101" s="694"/>
      <c r="I101" s="693">
        <v>195000</v>
      </c>
      <c r="J101" s="694"/>
      <c r="K101" s="319"/>
      <c r="L101" s="19"/>
      <c r="M101" s="6"/>
      <c r="N101" s="28"/>
      <c r="O101" s="29"/>
      <c r="P101" s="5"/>
    </row>
    <row r="102" spans="2:16" s="263" customFormat="1" ht="24.95" customHeight="1">
      <c r="B102" s="598" t="s">
        <v>26</v>
      </c>
      <c r="C102" s="600"/>
      <c r="D102" s="598" t="s">
        <v>27</v>
      </c>
      <c r="E102" s="599"/>
      <c r="F102" s="175" t="str">
        <f>IF('Język - Language'!$B$30="Polski","łączny cap3xuu / dzień","cap3xuu (total 3 page views / day)")</f>
        <v>łączny cap3xuu / dzień</v>
      </c>
      <c r="G102" s="693">
        <v>115000</v>
      </c>
      <c r="H102" s="694"/>
      <c r="I102" s="693">
        <v>150000</v>
      </c>
      <c r="J102" s="694"/>
      <c r="K102" s="319"/>
      <c r="L102" s="19"/>
      <c r="M102" s="6"/>
      <c r="N102" s="28"/>
      <c r="O102" s="313"/>
      <c r="P102" s="313"/>
    </row>
    <row r="103" spans="2:16" s="67" customFormat="1" ht="24.95" customHeight="1">
      <c r="B103" s="645" t="str">
        <f>IF('Język - Language'!$B$30="Polski","Turystyka","Travel")</f>
        <v>Turystyka</v>
      </c>
      <c r="C103" s="647"/>
      <c r="D103" s="645" t="s">
        <v>28</v>
      </c>
      <c r="E103" s="646"/>
      <c r="F103" s="176" t="str">
        <f>IF('Język - Language'!$B$30="Polski","łączny cap3xuu / dzień","cap3xuu (total 3 page views / day)")</f>
        <v>łączny cap3xuu / dzień</v>
      </c>
      <c r="G103" s="714">
        <v>20000</v>
      </c>
      <c r="H103" s="715"/>
      <c r="I103" s="714">
        <v>25000</v>
      </c>
      <c r="J103" s="715"/>
      <c r="K103" s="319"/>
      <c r="L103" s="19"/>
      <c r="M103" s="80"/>
      <c r="N103" s="313"/>
      <c r="O103" s="313"/>
      <c r="P103" s="313"/>
    </row>
    <row r="104" spans="2:16">
      <c r="B104" s="164" t="str">
        <f>IF('Język - Language'!$B$30="Polski","¹ emisja z wyłączeniem SG Pudelek","¹ emission without HP Pudelek")</f>
        <v>¹ emisja z wyłączeniem SG Pudelek</v>
      </c>
      <c r="C104" s="163"/>
      <c r="D104" s="163"/>
      <c r="E104" s="163"/>
      <c r="F104" s="163"/>
      <c r="G104" s="163"/>
      <c r="H104" s="163"/>
      <c r="I104" s="163"/>
      <c r="J104" s="169"/>
      <c r="K104" s="319"/>
      <c r="L104" s="319"/>
      <c r="M104" s="319"/>
      <c r="N104" s="319"/>
      <c r="O104" s="319"/>
      <c r="P104" s="319"/>
    </row>
    <row r="105" spans="2:16">
      <c r="B105" s="163" t="str">
        <f>IF('Język - Language'!$B$30="Polski","² format dostępny na wybranych serwisach mobile: pudelek, money.pl, sportowefakty, o2, serwisy pako, abczdrowie i parenting (tylko strony artykułowe)","² available on the selected mobile services")</f>
        <v>² format dostępny na wybranych serwisach mobile: pudelek, money.pl, sportowefakty, o2, serwisy pako, abczdrowie i parenting (tylko strony artykułowe)</v>
      </c>
      <c r="C105" s="167"/>
      <c r="D105" s="167"/>
      <c r="E105" s="167"/>
      <c r="F105" s="167"/>
      <c r="G105" s="167"/>
      <c r="H105" s="167"/>
      <c r="I105" s="167"/>
      <c r="J105" s="170"/>
      <c r="K105" s="319"/>
      <c r="L105" s="319"/>
      <c r="M105" s="319"/>
      <c r="N105" s="319"/>
      <c r="O105" s="319"/>
      <c r="P105" s="319"/>
    </row>
  </sheetData>
  <mergeCells count="162">
    <mergeCell ref="D101:E101"/>
    <mergeCell ref="D100:E100"/>
    <mergeCell ref="G103:H103"/>
    <mergeCell ref="I101:J101"/>
    <mergeCell ref="G100:H100"/>
    <mergeCell ref="I103:J103"/>
    <mergeCell ref="I102:J102"/>
    <mergeCell ref="B100:C100"/>
    <mergeCell ref="D103:E103"/>
    <mergeCell ref="G101:H101"/>
    <mergeCell ref="I100:J100"/>
    <mergeCell ref="B103:C103"/>
    <mergeCell ref="B101:C101"/>
    <mergeCell ref="B102:C102"/>
    <mergeCell ref="D102:E102"/>
    <mergeCell ref="G102:H102"/>
    <mergeCell ref="G99:H99"/>
    <mergeCell ref="I99:J99"/>
    <mergeCell ref="I98:J98"/>
    <mergeCell ref="G96:H96"/>
    <mergeCell ref="G97:H97"/>
    <mergeCell ref="G98:H98"/>
    <mergeCell ref="I67:I71"/>
    <mergeCell ref="F93:F94"/>
    <mergeCell ref="B70:E70"/>
    <mergeCell ref="B76:E76"/>
    <mergeCell ref="B71:E71"/>
    <mergeCell ref="B79:E79"/>
    <mergeCell ref="F70:H70"/>
    <mergeCell ref="D93:E94"/>
    <mergeCell ref="D97:E97"/>
    <mergeCell ref="I93:J93"/>
    <mergeCell ref="B95:C95"/>
    <mergeCell ref="I94:J94"/>
    <mergeCell ref="I95:J95"/>
    <mergeCell ref="B99:C99"/>
    <mergeCell ref="D99:E99"/>
    <mergeCell ref="B98:C98"/>
    <mergeCell ref="B97:C97"/>
    <mergeCell ref="B96:C96"/>
    <mergeCell ref="D96:E96"/>
    <mergeCell ref="I97:J97"/>
    <mergeCell ref="D98:E98"/>
    <mergeCell ref="I96:J96"/>
    <mergeCell ref="F25:H25"/>
    <mergeCell ref="B62:E62"/>
    <mergeCell ref="B39:E39"/>
    <mergeCell ref="F48:H48"/>
    <mergeCell ref="B25:B31"/>
    <mergeCell ref="B45:E45"/>
    <mergeCell ref="F39:H39"/>
    <mergeCell ref="B40:E40"/>
    <mergeCell ref="B43:E43"/>
    <mergeCell ref="F28:H28"/>
    <mergeCell ref="G94:H94"/>
    <mergeCell ref="B56:E57"/>
    <mergeCell ref="F80:H80"/>
    <mergeCell ref="F79:H79"/>
    <mergeCell ref="F67:H67"/>
    <mergeCell ref="B67:E67"/>
    <mergeCell ref="F46:H46"/>
    <mergeCell ref="B59:E59"/>
    <mergeCell ref="G93:H93"/>
    <mergeCell ref="B69:E69"/>
    <mergeCell ref="B80:E80"/>
    <mergeCell ref="C93:C94"/>
    <mergeCell ref="B81:E81"/>
    <mergeCell ref="B82:E82"/>
    <mergeCell ref="B86:E86"/>
    <mergeCell ref="B60:E60"/>
    <mergeCell ref="B48:E48"/>
    <mergeCell ref="B61:E61"/>
    <mergeCell ref="B58:E58"/>
    <mergeCell ref="G95:H95"/>
    <mergeCell ref="B66:E66"/>
    <mergeCell ref="F68:H68"/>
    <mergeCell ref="F69:H69"/>
    <mergeCell ref="F66:H66"/>
    <mergeCell ref="B68:E68"/>
    <mergeCell ref="B47:E47"/>
    <mergeCell ref="D95:E95"/>
    <mergeCell ref="C24:J24"/>
    <mergeCell ref="B77:E78"/>
    <mergeCell ref="F86:H86"/>
    <mergeCell ref="B89:E90"/>
    <mergeCell ref="B87:E88"/>
    <mergeCell ref="F87:H88"/>
    <mergeCell ref="F89:H90"/>
    <mergeCell ref="F76:H76"/>
    <mergeCell ref="F62:H62"/>
    <mergeCell ref="B42:E42"/>
    <mergeCell ref="F27:H27"/>
    <mergeCell ref="F77:H78"/>
    <mergeCell ref="C28:E28"/>
    <mergeCell ref="C29:E29"/>
    <mergeCell ref="F26:H26"/>
    <mergeCell ref="F71:H71"/>
    <mergeCell ref="J56:J57"/>
    <mergeCell ref="I56:I57"/>
    <mergeCell ref="F60:H60"/>
    <mergeCell ref="F61:H61"/>
    <mergeCell ref="F56:H57"/>
    <mergeCell ref="F59:H59"/>
    <mergeCell ref="J37:J38"/>
    <mergeCell ref="I37:I38"/>
    <mergeCell ref="I39:I48"/>
    <mergeCell ref="F47:H47"/>
    <mergeCell ref="F43:H43"/>
    <mergeCell ref="I58:I62"/>
    <mergeCell ref="F41:H41"/>
    <mergeCell ref="F42:H42"/>
    <mergeCell ref="F37:H38"/>
    <mergeCell ref="F40:H40"/>
    <mergeCell ref="F44:H44"/>
    <mergeCell ref="F58:H58"/>
    <mergeCell ref="G1:J3"/>
    <mergeCell ref="C7:E8"/>
    <mergeCell ref="F7:H8"/>
    <mergeCell ref="C13:E13"/>
    <mergeCell ref="F31:H31"/>
    <mergeCell ref="F30:H30"/>
    <mergeCell ref="F22:H22"/>
    <mergeCell ref="C20:J20"/>
    <mergeCell ref="C25:E25"/>
    <mergeCell ref="J16:J17"/>
    <mergeCell ref="C16:E16"/>
    <mergeCell ref="I7:J7"/>
    <mergeCell ref="F11:H11"/>
    <mergeCell ref="C11:E12"/>
    <mergeCell ref="F12:H12"/>
    <mergeCell ref="I16:I17"/>
    <mergeCell ref="F23:H23"/>
    <mergeCell ref="F15:H15"/>
    <mergeCell ref="F13:H13"/>
    <mergeCell ref="F14:H14"/>
    <mergeCell ref="C23:E23"/>
    <mergeCell ref="F18:H18"/>
    <mergeCell ref="F19:H19"/>
    <mergeCell ref="C31:E31"/>
    <mergeCell ref="F9:H10"/>
    <mergeCell ref="C18:E18"/>
    <mergeCell ref="C27:E27"/>
    <mergeCell ref="C15:E15"/>
    <mergeCell ref="C22:E22"/>
    <mergeCell ref="C9:E9"/>
    <mergeCell ref="B13:B20"/>
    <mergeCell ref="C21:E21"/>
    <mergeCell ref="B46:E46"/>
    <mergeCell ref="C17:E17"/>
    <mergeCell ref="B21:B24"/>
    <mergeCell ref="C26:E26"/>
    <mergeCell ref="B44:E44"/>
    <mergeCell ref="C30:E30"/>
    <mergeCell ref="B37:E38"/>
    <mergeCell ref="B41:E41"/>
    <mergeCell ref="C19:E19"/>
    <mergeCell ref="C10:E10"/>
    <mergeCell ref="F29:H29"/>
    <mergeCell ref="F45:H45"/>
    <mergeCell ref="C14:E14"/>
    <mergeCell ref="F16:H17"/>
    <mergeCell ref="F21:H21"/>
  </mergeCells>
  <pageMargins left="0.7" right="0.7" top="0.75" bottom="0.75" header="0.3" footer="0.3"/>
  <pageSetup paperSize="256" orientation="landscape" r:id="rId1"/>
  <ignoredErrors>
    <ignoredError sqref="F11 I88:I89"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O96"/>
  <sheetViews>
    <sheetView tabSelected="1" zoomScaleNormal="100" workbookViewId="0">
      <pane ySplit="4" topLeftCell="A5" activePane="bottomLeft" state="frozen"/>
      <selection pane="bottomLeft"/>
    </sheetView>
  </sheetViews>
  <sheetFormatPr defaultColWidth="9.140625" defaultRowHeight="15"/>
  <cols>
    <col min="1" max="2" width="2.85546875" style="320" customWidth="1"/>
    <col min="3" max="3" width="21.42578125" style="320" customWidth="1"/>
    <col min="4" max="4" width="23.5703125" style="320" customWidth="1"/>
    <col min="5" max="12" width="14.28515625" style="320" customWidth="1"/>
    <col min="13" max="13" width="10" style="320" customWidth="1"/>
    <col min="14" max="15" width="14.28515625" style="320" customWidth="1"/>
    <col min="16" max="16384" width="9.140625" style="320"/>
  </cols>
  <sheetData>
    <row r="1" spans="1:13" ht="12.75" customHeight="1">
      <c r="A1" s="320" t="s">
        <v>220</v>
      </c>
      <c r="F1" s="321"/>
      <c r="G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H1" s="589"/>
      <c r="I1" s="589"/>
      <c r="J1" s="589"/>
      <c r="K1" s="589"/>
      <c r="L1" s="589"/>
      <c r="M1" s="589"/>
    </row>
    <row r="2" spans="1:13" ht="12.75" customHeight="1">
      <c r="E2" s="321"/>
      <c r="F2" s="321"/>
      <c r="G2" s="589"/>
      <c r="H2" s="589"/>
      <c r="I2" s="589"/>
      <c r="J2" s="589"/>
      <c r="K2" s="589"/>
      <c r="L2" s="589"/>
      <c r="M2" s="589"/>
    </row>
    <row r="3" spans="1:13" ht="12.75" customHeight="1">
      <c r="E3" s="321"/>
      <c r="F3" s="321"/>
      <c r="G3" s="589"/>
      <c r="H3" s="589"/>
      <c r="I3" s="589"/>
      <c r="J3" s="589"/>
      <c r="K3" s="589"/>
      <c r="L3" s="589"/>
      <c r="M3" s="589"/>
    </row>
    <row r="4" spans="1:13" s="345" customFormat="1" ht="12.75" customHeight="1">
      <c r="C4" s="346" t="str">
        <f>IF('Język - Language'!$B$30="Polski","            Reklama mobilna","            Mobile Advertising")</f>
        <v xml:space="preserve">            Reklama mobilna</v>
      </c>
      <c r="D4" s="346"/>
      <c r="J4" s="312"/>
      <c r="K4" s="353"/>
      <c r="M4" s="360" t="str">
        <f>IF('Język - Language'!$B$30="Polski","PL","EN")</f>
        <v>PL</v>
      </c>
    </row>
    <row r="5" spans="1:13" ht="12.75" customHeight="1"/>
    <row r="6" spans="1:13" ht="12.75" customHeight="1"/>
    <row r="7" spans="1:13" ht="12.75" customHeight="1">
      <c r="C7" s="364" t="str">
        <f>IF('Język - Language'!$B$30="Polski","REKLAMA FLAT FEE - m.wp.pl (strona główna)","FLAT FEE ADVERTISING - m.wp.pl (home page)")</f>
        <v>REKLAMA FLAT FEE - m.wp.pl (strona główna)</v>
      </c>
    </row>
    <row r="8" spans="1:13" ht="25.5" customHeight="1">
      <c r="C8" s="758" t="str">
        <f>IF('Język - Language'!$B$30="Polski","MIEJSCE EMISJI","PLACE OF EMISSION")</f>
        <v>MIEJSCE EMISJI</v>
      </c>
      <c r="D8" s="758"/>
      <c r="E8" s="485" t="s">
        <v>163</v>
      </c>
      <c r="F8" s="485" t="s">
        <v>231</v>
      </c>
      <c r="G8" s="485" t="s">
        <v>232</v>
      </c>
      <c r="H8" s="559" t="s">
        <v>232</v>
      </c>
      <c r="I8" s="717" t="s">
        <v>165</v>
      </c>
      <c r="J8" s="717"/>
      <c r="K8" s="489"/>
      <c r="L8" s="489"/>
      <c r="M8" s="489"/>
    </row>
    <row r="9" spans="1:13" ht="12.75" customHeight="1">
      <c r="C9" s="758"/>
      <c r="D9" s="758"/>
      <c r="E9" s="564" t="s">
        <v>156</v>
      </c>
      <c r="F9" s="564"/>
      <c r="G9" s="564"/>
      <c r="H9" s="559" t="s">
        <v>218</v>
      </c>
      <c r="I9" s="716" t="s">
        <v>219</v>
      </c>
      <c r="J9" s="717"/>
      <c r="K9" s="490"/>
      <c r="L9" s="490"/>
      <c r="M9" s="490"/>
    </row>
    <row r="10" spans="1:13" ht="12.75" customHeight="1">
      <c r="B10" s="347"/>
      <c r="C10" s="770" t="str">
        <f>'Desktop Flat Fee'!C8</f>
        <v>WP SG</v>
      </c>
      <c r="D10" s="487" t="s">
        <v>157</v>
      </c>
      <c r="E10" s="506">
        <v>155000</v>
      </c>
      <c r="F10" s="486">
        <v>50000</v>
      </c>
      <c r="G10" s="486">
        <v>155000</v>
      </c>
      <c r="H10" s="486">
        <v>115000</v>
      </c>
      <c r="I10" s="754">
        <v>135000</v>
      </c>
      <c r="J10" s="755"/>
      <c r="K10" s="560"/>
      <c r="L10" s="560"/>
      <c r="M10" s="560"/>
    </row>
    <row r="11" spans="1:13" ht="12.75" customHeight="1">
      <c r="B11" s="16"/>
      <c r="C11" s="761"/>
      <c r="D11" s="392" t="s">
        <v>158</v>
      </c>
      <c r="E11" s="503">
        <v>180000</v>
      </c>
      <c r="F11" s="498">
        <v>60000</v>
      </c>
      <c r="G11" s="498">
        <v>170000</v>
      </c>
      <c r="H11" s="498">
        <v>135000</v>
      </c>
      <c r="I11" s="743">
        <v>162000</v>
      </c>
      <c r="J11" s="744"/>
      <c r="K11" s="499"/>
      <c r="L11" s="499"/>
      <c r="M11" s="499"/>
    </row>
    <row r="12" spans="1:13" ht="12.75" customHeight="1">
      <c r="B12" s="16"/>
      <c r="C12" s="324" t="s">
        <v>225</v>
      </c>
      <c r="D12" s="332"/>
      <c r="E12" s="508"/>
      <c r="F12" s="508"/>
      <c r="G12" s="508"/>
      <c r="H12" s="508"/>
      <c r="I12" s="508"/>
      <c r="J12" s="499"/>
      <c r="K12" s="499"/>
      <c r="L12" s="499"/>
      <c r="M12" s="499"/>
    </row>
    <row r="13" spans="1:13" ht="12.75" customHeight="1">
      <c r="B13" s="16"/>
      <c r="C13" s="324" t="s">
        <v>235</v>
      </c>
      <c r="D13" s="332"/>
      <c r="E13" s="574"/>
      <c r="F13" s="574"/>
      <c r="G13" s="574"/>
      <c r="H13" s="574"/>
      <c r="I13" s="574"/>
      <c r="J13" s="499"/>
      <c r="K13" s="499"/>
      <c r="L13" s="499"/>
      <c r="M13" s="499"/>
    </row>
    <row r="14" spans="1:13" ht="12.75" customHeight="1">
      <c r="B14" s="16"/>
      <c r="C14" s="324"/>
      <c r="D14" s="332"/>
      <c r="E14" s="574"/>
      <c r="F14" s="574"/>
      <c r="G14" s="574"/>
      <c r="H14" s="574"/>
      <c r="I14" s="574"/>
      <c r="J14" s="499"/>
      <c r="K14" s="499"/>
      <c r="L14" s="499"/>
      <c r="M14" s="499"/>
    </row>
    <row r="15" spans="1:13" ht="12.75" customHeight="1">
      <c r="B15" s="16"/>
      <c r="C15" s="363"/>
      <c r="D15" s="332"/>
      <c r="E15" s="553"/>
      <c r="F15" s="553"/>
      <c r="G15" s="553"/>
      <c r="H15" s="553"/>
      <c r="I15" s="553"/>
      <c r="J15" s="499"/>
      <c r="K15" s="499"/>
      <c r="L15" s="499"/>
      <c r="M15" s="499"/>
    </row>
    <row r="16" spans="1:13" ht="12.75" customHeight="1">
      <c r="B16" s="16"/>
      <c r="C16" s="363" t="s">
        <v>209</v>
      </c>
      <c r="D16" s="332"/>
      <c r="E16" s="553"/>
      <c r="F16" s="553"/>
      <c r="G16" s="553"/>
      <c r="H16" s="553"/>
      <c r="I16" s="553"/>
      <c r="J16" s="499"/>
      <c r="K16" s="499"/>
      <c r="L16" s="499"/>
      <c r="M16" s="499"/>
    </row>
    <row r="17" spans="2:13" ht="25.5" customHeight="1">
      <c r="C17" s="758" t="str">
        <f>IF('Język - Language'!$B$30="Polski","MIEJSCE EMISJI","PLACE OF EMISSION")</f>
        <v>MIEJSCE EMISJI</v>
      </c>
      <c r="D17" s="758"/>
      <c r="E17" s="775" t="s">
        <v>212</v>
      </c>
      <c r="F17" s="775"/>
      <c r="G17" s="775"/>
      <c r="H17" s="717"/>
      <c r="I17" s="499"/>
      <c r="J17" s="489"/>
      <c r="K17" s="489"/>
      <c r="L17" s="489"/>
      <c r="M17" s="489"/>
    </row>
    <row r="18" spans="2:13" ht="12.75" customHeight="1">
      <c r="C18" s="758"/>
      <c r="D18" s="758"/>
      <c r="E18" s="775" t="s">
        <v>211</v>
      </c>
      <c r="F18" s="775"/>
      <c r="G18" s="775" t="s">
        <v>213</v>
      </c>
      <c r="H18" s="717"/>
      <c r="I18" s="499"/>
      <c r="J18" s="490"/>
      <c r="K18" s="490"/>
      <c r="L18" s="490"/>
      <c r="M18" s="490"/>
    </row>
    <row r="19" spans="2:13" ht="12.75" customHeight="1">
      <c r="B19" s="347"/>
      <c r="C19" s="770" t="s">
        <v>30</v>
      </c>
      <c r="D19" s="487" t="s">
        <v>210</v>
      </c>
      <c r="E19" s="754">
        <v>3000</v>
      </c>
      <c r="F19" s="755"/>
      <c r="G19" s="754">
        <v>20000</v>
      </c>
      <c r="H19" s="755"/>
      <c r="I19" s="553"/>
      <c r="J19" s="753"/>
      <c r="K19" s="753"/>
      <c r="L19" s="753"/>
      <c r="M19" s="753"/>
    </row>
    <row r="20" spans="2:13" ht="12.75" customHeight="1">
      <c r="B20" s="16"/>
      <c r="C20" s="770"/>
      <c r="D20" s="487" t="s">
        <v>49</v>
      </c>
      <c r="E20" s="754">
        <v>2000</v>
      </c>
      <c r="F20" s="755"/>
      <c r="G20" s="754">
        <v>12000</v>
      </c>
      <c r="H20" s="755"/>
      <c r="I20" s="553"/>
      <c r="J20" s="499"/>
      <c r="K20" s="499"/>
      <c r="L20" s="499"/>
      <c r="M20" s="499"/>
    </row>
    <row r="21" spans="2:13" ht="12.75" customHeight="1">
      <c r="B21" s="16"/>
      <c r="C21" s="770"/>
      <c r="D21" s="487" t="s">
        <v>214</v>
      </c>
      <c r="E21" s="754">
        <v>2000</v>
      </c>
      <c r="F21" s="755"/>
      <c r="G21" s="754">
        <v>12000</v>
      </c>
      <c r="H21" s="755"/>
      <c r="I21" s="553"/>
      <c r="J21" s="499"/>
      <c r="K21" s="499"/>
      <c r="L21" s="499"/>
      <c r="M21" s="499"/>
    </row>
    <row r="22" spans="2:13" ht="12.75" customHeight="1">
      <c r="B22" s="16"/>
      <c r="C22" s="770"/>
      <c r="D22" s="487" t="s">
        <v>215</v>
      </c>
      <c r="E22" s="754">
        <v>1000</v>
      </c>
      <c r="F22" s="755"/>
      <c r="G22" s="754">
        <v>6000</v>
      </c>
      <c r="H22" s="755"/>
      <c r="I22" s="553"/>
      <c r="J22" s="499"/>
      <c r="K22" s="499"/>
      <c r="L22" s="499"/>
      <c r="M22" s="499"/>
    </row>
    <row r="23" spans="2:13" ht="12.75" customHeight="1">
      <c r="B23" s="16"/>
      <c r="C23" s="770"/>
      <c r="D23" s="487" t="s">
        <v>216</v>
      </c>
      <c r="E23" s="754">
        <v>1000</v>
      </c>
      <c r="F23" s="755"/>
      <c r="G23" s="754">
        <v>6000</v>
      </c>
      <c r="H23" s="755"/>
      <c r="I23" s="553"/>
      <c r="J23" s="499"/>
      <c r="K23" s="499"/>
      <c r="L23" s="499"/>
      <c r="M23" s="499"/>
    </row>
    <row r="24" spans="2:13" ht="12.75" customHeight="1">
      <c r="B24" s="16"/>
      <c r="C24" s="761"/>
      <c r="D24" s="392" t="s">
        <v>217</v>
      </c>
      <c r="E24" s="743">
        <v>1000</v>
      </c>
      <c r="F24" s="744"/>
      <c r="G24" s="743">
        <v>6000</v>
      </c>
      <c r="H24" s="744"/>
      <c r="I24" s="556"/>
      <c r="J24" s="499"/>
      <c r="K24" s="499"/>
      <c r="L24" s="499"/>
      <c r="M24" s="499"/>
    </row>
    <row r="25" spans="2:13" ht="15" customHeight="1">
      <c r="B25" s="16"/>
      <c r="C25" s="363"/>
      <c r="D25" s="332"/>
      <c r="E25" s="553"/>
      <c r="F25" s="553"/>
      <c r="G25" s="553"/>
      <c r="H25" s="553"/>
      <c r="I25" s="553"/>
      <c r="J25" s="499"/>
      <c r="K25" s="499"/>
      <c r="L25" s="499"/>
      <c r="M25" s="499"/>
    </row>
    <row r="26" spans="2:13" ht="15" customHeight="1">
      <c r="B26" s="16"/>
      <c r="C26" s="363"/>
      <c r="D26" s="332"/>
      <c r="E26" s="562"/>
      <c r="F26" s="562"/>
      <c r="G26" s="562"/>
      <c r="H26" s="562"/>
      <c r="I26" s="562"/>
      <c r="J26" s="499"/>
      <c r="K26" s="499"/>
      <c r="L26" s="499"/>
      <c r="M26" s="499"/>
    </row>
    <row r="27" spans="2:13" ht="12.75" customHeight="1">
      <c r="B27" s="16"/>
      <c r="C27" s="363" t="str">
        <f>IF('Język - Language'!$B$30="Polski","REKLAMA ODSŁONOWA (vCPM) - m.wp.pl (strona główna)","vCPM ADVERTISING - m.wp.pl (home page)")</f>
        <v>REKLAMA ODSŁONOWA (vCPM) - m.wp.pl (strona główna)</v>
      </c>
      <c r="D27" s="332"/>
      <c r="E27" s="562"/>
      <c r="F27" s="562"/>
      <c r="G27" s="562"/>
      <c r="H27" s="562"/>
      <c r="I27" s="562"/>
      <c r="J27" s="499"/>
      <c r="K27" s="499"/>
      <c r="L27" s="499"/>
      <c r="M27" s="499"/>
    </row>
    <row r="28" spans="2:13" ht="25.5" customHeight="1">
      <c r="B28" s="16"/>
      <c r="C28" s="771" t="s">
        <v>161</v>
      </c>
      <c r="D28" s="771"/>
      <c r="E28" s="771"/>
      <c r="F28" s="728" t="s">
        <v>221</v>
      </c>
      <c r="G28" s="728"/>
      <c r="H28" s="728"/>
      <c r="I28" s="728"/>
      <c r="J28" s="728"/>
      <c r="K28" s="729"/>
    </row>
    <row r="29" spans="2:13" ht="25.5" customHeight="1">
      <c r="B29" s="16"/>
      <c r="C29" s="771"/>
      <c r="D29" s="771"/>
      <c r="E29" s="771"/>
      <c r="F29" s="716" t="str">
        <f>'Serwisy &amp; Pakiety'!F27</f>
        <v>rozliczenie za widzialne odsłony wg standardu IAB, po statystykach wewnętrznych WPM¹</v>
      </c>
      <c r="G29" s="716"/>
      <c r="H29" s="716"/>
      <c r="I29" s="716"/>
      <c r="J29" s="716"/>
      <c r="K29" s="717"/>
    </row>
    <row r="30" spans="2:13" ht="12.75" customHeight="1">
      <c r="B30" s="16"/>
      <c r="C30" s="771"/>
      <c r="D30" s="771"/>
      <c r="E30" s="771"/>
      <c r="F30" s="728" t="s">
        <v>178</v>
      </c>
      <c r="G30" s="728"/>
      <c r="H30" s="728"/>
      <c r="I30" s="728"/>
      <c r="J30" s="728"/>
      <c r="K30" s="729"/>
    </row>
    <row r="31" spans="2:13" ht="25.5" customHeight="1">
      <c r="B31" s="347"/>
      <c r="C31" s="561" t="s">
        <v>30</v>
      </c>
      <c r="D31" s="772" t="s">
        <v>222</v>
      </c>
      <c r="E31" s="773"/>
      <c r="F31" s="743" t="s">
        <v>223</v>
      </c>
      <c r="G31" s="774"/>
      <c r="H31" s="774"/>
      <c r="I31" s="774"/>
      <c r="J31" s="774"/>
      <c r="K31" s="744"/>
    </row>
    <row r="32" spans="2:13" ht="15" customHeight="1">
      <c r="B32" s="16"/>
      <c r="C32" s="363"/>
      <c r="D32" s="332"/>
      <c r="E32" s="562"/>
      <c r="F32" s="562"/>
      <c r="G32" s="562"/>
      <c r="H32" s="562"/>
      <c r="I32" s="562"/>
      <c r="J32" s="499"/>
      <c r="K32" s="499"/>
      <c r="L32" s="499"/>
      <c r="M32" s="499"/>
    </row>
    <row r="33" spans="2:15" ht="15" customHeight="1">
      <c r="B33" s="16"/>
      <c r="C33" s="497"/>
      <c r="D33" s="497"/>
      <c r="E33" s="362"/>
      <c r="F33" s="362"/>
      <c r="G33" s="362"/>
      <c r="H33" s="362"/>
      <c r="I33" s="362"/>
      <c r="J33" s="751"/>
      <c r="K33" s="751"/>
      <c r="L33" s="751"/>
      <c r="M33" s="751"/>
    </row>
    <row r="34" spans="2:15" ht="12.75" customHeight="1">
      <c r="B34" s="16"/>
      <c r="C34" s="497" t="s">
        <v>160</v>
      </c>
      <c r="D34" s="497"/>
      <c r="E34" s="362"/>
      <c r="F34" s="362"/>
      <c r="G34" s="362"/>
      <c r="H34" s="362"/>
      <c r="I34" s="362"/>
      <c r="J34" s="562"/>
      <c r="K34" s="562"/>
      <c r="L34" s="562"/>
      <c r="M34" s="562"/>
    </row>
    <row r="35" spans="2:15" ht="25.5" customHeight="1">
      <c r="B35" s="16"/>
      <c r="C35" s="765" t="s">
        <v>161</v>
      </c>
      <c r="D35" s="765"/>
      <c r="E35" s="716" t="s">
        <v>229</v>
      </c>
      <c r="F35" s="717"/>
      <c r="G35" s="752" t="s">
        <v>165</v>
      </c>
      <c r="H35" s="717"/>
      <c r="I35" s="499"/>
      <c r="J35" s="499"/>
      <c r="K35" s="488"/>
      <c r="L35" s="488"/>
      <c r="M35" s="488"/>
      <c r="N35" s="488"/>
    </row>
    <row r="36" spans="2:15" ht="16.5" customHeight="1">
      <c r="B36" s="16"/>
      <c r="C36" s="765"/>
      <c r="D36" s="765"/>
      <c r="E36" s="716" t="s">
        <v>156</v>
      </c>
      <c r="F36" s="717"/>
      <c r="G36" s="752" t="s">
        <v>204</v>
      </c>
      <c r="H36" s="717"/>
      <c r="I36" s="489"/>
      <c r="J36" s="499"/>
      <c r="K36" s="488"/>
      <c r="L36" s="488"/>
      <c r="M36" s="488"/>
      <c r="N36" s="488"/>
    </row>
    <row r="37" spans="2:15" ht="25.5" customHeight="1">
      <c r="B37" s="347"/>
      <c r="C37" s="766" t="s">
        <v>31</v>
      </c>
      <c r="D37" s="767"/>
      <c r="E37" s="718">
        <v>115000</v>
      </c>
      <c r="F37" s="719"/>
      <c r="G37" s="718">
        <v>150000</v>
      </c>
      <c r="H37" s="719"/>
      <c r="I37" s="512"/>
      <c r="J37" s="512"/>
      <c r="K37" s="751"/>
      <c r="L37" s="751"/>
      <c r="M37" s="751"/>
      <c r="N37" s="751"/>
    </row>
    <row r="38" spans="2:15" ht="25.5" customHeight="1">
      <c r="B38" s="347"/>
      <c r="C38" s="763" t="s">
        <v>228</v>
      </c>
      <c r="D38" s="764"/>
      <c r="E38" s="720">
        <v>35000</v>
      </c>
      <c r="F38" s="721"/>
      <c r="G38" s="720">
        <v>85000</v>
      </c>
      <c r="H38" s="721"/>
      <c r="I38" s="512"/>
      <c r="J38" s="512"/>
      <c r="K38" s="751"/>
      <c r="L38" s="751"/>
      <c r="M38" s="751"/>
      <c r="N38" s="751"/>
    </row>
    <row r="39" spans="2:15" ht="25.5" customHeight="1">
      <c r="B39" s="347"/>
      <c r="C39" s="759" t="s">
        <v>40</v>
      </c>
      <c r="D39" s="760"/>
      <c r="E39" s="720">
        <v>95000</v>
      </c>
      <c r="F39" s="721"/>
      <c r="G39" s="720">
        <v>185000</v>
      </c>
      <c r="H39" s="721"/>
      <c r="I39" s="512"/>
      <c r="J39" s="512"/>
      <c r="K39" s="751"/>
      <c r="L39" s="751"/>
      <c r="M39" s="751"/>
      <c r="N39" s="751"/>
      <c r="O39" s="16"/>
    </row>
    <row r="40" spans="2:15" ht="25.5" customHeight="1">
      <c r="B40" s="347"/>
      <c r="C40" s="763" t="s">
        <v>45</v>
      </c>
      <c r="D40" s="764"/>
      <c r="E40" s="720">
        <v>20000</v>
      </c>
      <c r="F40" s="721"/>
      <c r="G40" s="720" t="s">
        <v>59</v>
      </c>
      <c r="H40" s="721"/>
      <c r="I40" s="512"/>
      <c r="J40" s="512"/>
      <c r="K40" s="751"/>
      <c r="L40" s="751"/>
      <c r="M40" s="751"/>
      <c r="N40" s="751"/>
    </row>
    <row r="41" spans="2:15" ht="25.5" customHeight="1">
      <c r="B41" s="347"/>
      <c r="C41" s="761" t="s">
        <v>162</v>
      </c>
      <c r="D41" s="762"/>
      <c r="E41" s="722">
        <v>135000</v>
      </c>
      <c r="F41" s="723"/>
      <c r="G41" s="743">
        <v>314000</v>
      </c>
      <c r="H41" s="744"/>
      <c r="I41" s="507"/>
      <c r="J41" s="507"/>
      <c r="K41" s="397"/>
      <c r="L41" s="397"/>
    </row>
    <row r="42" spans="2:15" ht="15" customHeight="1">
      <c r="B42" s="16"/>
      <c r="C42" s="573" t="s">
        <v>230</v>
      </c>
      <c r="D42" s="361"/>
      <c r="E42" s="340"/>
      <c r="F42" s="340"/>
      <c r="G42" s="340"/>
      <c r="H42" s="340"/>
      <c r="I42" s="507"/>
      <c r="J42" s="507"/>
      <c r="K42" s="574"/>
      <c r="L42" s="574"/>
    </row>
    <row r="43" spans="2:15" ht="15" customHeight="1">
      <c r="B43" s="16"/>
      <c r="C43" s="361"/>
      <c r="D43" s="361"/>
      <c r="E43" s="507"/>
      <c r="F43" s="494"/>
      <c r="G43" s="494"/>
      <c r="H43" s="507"/>
      <c r="I43" s="507"/>
      <c r="J43" s="494"/>
      <c r="K43" s="494"/>
    </row>
    <row r="44" spans="2:15" ht="15" customHeight="1">
      <c r="B44" s="16"/>
      <c r="C44" s="361"/>
      <c r="D44" s="361"/>
      <c r="E44" s="507"/>
      <c r="F44" s="494"/>
      <c r="G44" s="494"/>
      <c r="H44" s="507"/>
      <c r="I44" s="507"/>
      <c r="J44" s="494"/>
      <c r="K44" s="494"/>
    </row>
    <row r="45" spans="2:15" ht="12.75" customHeight="1">
      <c r="B45" s="16"/>
      <c r="C45" s="363" t="s">
        <v>166</v>
      </c>
      <c r="D45" s="361"/>
      <c r="E45" s="507"/>
      <c r="F45" s="494"/>
      <c r="G45" s="494"/>
      <c r="H45" s="507"/>
      <c r="I45" s="507"/>
      <c r="J45" s="494"/>
      <c r="K45" s="494"/>
    </row>
    <row r="46" spans="2:15" ht="25.5" customHeight="1">
      <c r="B46" s="16"/>
      <c r="C46" s="765" t="s">
        <v>161</v>
      </c>
      <c r="D46" s="765"/>
      <c r="E46" s="509" t="s">
        <v>169</v>
      </c>
      <c r="F46" s="510" t="s">
        <v>170</v>
      </c>
      <c r="G46" s="494"/>
      <c r="H46" s="507"/>
      <c r="I46" s="507"/>
      <c r="J46" s="494"/>
      <c r="K46" s="494"/>
    </row>
    <row r="47" spans="2:15" ht="12.75" customHeight="1">
      <c r="B47" s="16"/>
      <c r="C47" s="765"/>
      <c r="D47" s="765"/>
      <c r="E47" s="728" t="s">
        <v>172</v>
      </c>
      <c r="F47" s="729"/>
      <c r="G47" s="494"/>
      <c r="H47" s="507"/>
      <c r="I47" s="507"/>
      <c r="J47" s="494"/>
      <c r="K47" s="494"/>
    </row>
    <row r="48" spans="2:15" ht="25.5" customHeight="1">
      <c r="B48" s="347"/>
      <c r="C48" s="495" t="s">
        <v>167</v>
      </c>
      <c r="D48" s="496"/>
      <c r="E48" s="504">
        <v>240000</v>
      </c>
      <c r="F48" s="505">
        <v>150000</v>
      </c>
      <c r="G48" s="494"/>
      <c r="H48" s="507"/>
      <c r="I48" s="507"/>
      <c r="J48" s="494"/>
      <c r="K48" s="494"/>
    </row>
    <row r="49" spans="2:11" ht="25.5" customHeight="1">
      <c r="B49" s="347"/>
      <c r="C49" s="492" t="s">
        <v>168</v>
      </c>
      <c r="D49" s="493"/>
      <c r="E49" s="503">
        <v>70000</v>
      </c>
      <c r="F49" s="498">
        <v>70000</v>
      </c>
      <c r="G49" s="494"/>
      <c r="H49" s="507"/>
      <c r="I49" s="507"/>
      <c r="J49" s="494"/>
      <c r="K49" s="494"/>
    </row>
    <row r="50" spans="2:11" ht="15" customHeight="1">
      <c r="B50" s="16"/>
      <c r="C50" s="361"/>
      <c r="D50" s="361"/>
      <c r="E50" s="507"/>
      <c r="F50" s="494"/>
      <c r="G50" s="494"/>
      <c r="H50" s="507"/>
      <c r="I50" s="507"/>
      <c r="J50" s="494"/>
      <c r="K50" s="494"/>
    </row>
    <row r="51" spans="2:11" ht="15" customHeight="1">
      <c r="B51" s="16"/>
      <c r="C51" s="361"/>
      <c r="D51" s="361"/>
      <c r="E51" s="507"/>
      <c r="F51" s="494"/>
      <c r="G51" s="494"/>
      <c r="H51" s="507"/>
      <c r="I51" s="507"/>
      <c r="J51" s="494"/>
      <c r="K51" s="494"/>
    </row>
    <row r="52" spans="2:11" ht="12.75" customHeight="1">
      <c r="B52" s="16"/>
      <c r="C52" s="363" t="s">
        <v>171</v>
      </c>
      <c r="D52" s="361"/>
      <c r="E52" s="507"/>
      <c r="F52" s="494"/>
      <c r="G52" s="494"/>
      <c r="H52" s="507"/>
      <c r="I52" s="507"/>
      <c r="J52" s="494"/>
      <c r="K52" s="494"/>
    </row>
    <row r="53" spans="2:11" ht="25.5" customHeight="1">
      <c r="B53" s="16"/>
      <c r="C53" s="765" t="s">
        <v>161</v>
      </c>
      <c r="D53" s="765"/>
      <c r="E53" s="509" t="s">
        <v>176</v>
      </c>
      <c r="F53" s="510" t="s">
        <v>164</v>
      </c>
      <c r="G53" s="510" t="s">
        <v>195</v>
      </c>
      <c r="H53" s="507"/>
      <c r="I53" s="507"/>
      <c r="J53" s="494"/>
      <c r="K53" s="494"/>
    </row>
    <row r="54" spans="2:11" ht="12.75" customHeight="1">
      <c r="B54" s="16"/>
      <c r="C54" s="765"/>
      <c r="D54" s="765"/>
      <c r="E54" s="728" t="s">
        <v>177</v>
      </c>
      <c r="F54" s="728"/>
      <c r="G54" s="729"/>
      <c r="H54" s="507"/>
      <c r="I54" s="507"/>
      <c r="J54" s="494"/>
      <c r="K54" s="494"/>
    </row>
    <row r="55" spans="2:11" ht="25.5" customHeight="1">
      <c r="B55" s="347"/>
      <c r="C55" s="766" t="s">
        <v>173</v>
      </c>
      <c r="D55" s="767"/>
      <c r="E55" s="726">
        <v>65</v>
      </c>
      <c r="F55" s="726">
        <v>45</v>
      </c>
      <c r="G55" s="551" t="s">
        <v>196</v>
      </c>
      <c r="H55" s="507"/>
      <c r="I55" s="507"/>
      <c r="J55" s="494"/>
      <c r="K55" s="494"/>
    </row>
    <row r="56" spans="2:11" ht="25.5" customHeight="1">
      <c r="B56" s="347"/>
      <c r="C56" s="763" t="s">
        <v>174</v>
      </c>
      <c r="D56" s="764"/>
      <c r="E56" s="726"/>
      <c r="F56" s="726"/>
      <c r="G56" s="552">
        <v>0.25</v>
      </c>
      <c r="H56" s="507"/>
      <c r="I56" s="507"/>
      <c r="J56" s="494"/>
      <c r="K56" s="494"/>
    </row>
    <row r="57" spans="2:11" ht="25.5" customHeight="1">
      <c r="B57" s="347"/>
      <c r="C57" s="768" t="s">
        <v>175</v>
      </c>
      <c r="D57" s="769"/>
      <c r="E57" s="727"/>
      <c r="F57" s="727"/>
      <c r="G57" s="527">
        <v>0.25</v>
      </c>
      <c r="H57" s="507"/>
      <c r="I57" s="507"/>
      <c r="J57" s="494"/>
      <c r="K57" s="494"/>
    </row>
    <row r="58" spans="2:11" ht="15" customHeight="1">
      <c r="B58" s="16"/>
      <c r="C58" s="361"/>
      <c r="D58" s="361"/>
      <c r="E58" s="507"/>
      <c r="F58" s="494"/>
      <c r="G58" s="494"/>
      <c r="H58" s="507"/>
      <c r="I58" s="507"/>
      <c r="J58" s="494"/>
      <c r="K58" s="494"/>
    </row>
    <row r="59" spans="2:11" ht="15" customHeight="1">
      <c r="B59" s="16"/>
      <c r="C59" s="361"/>
      <c r="D59" s="361"/>
      <c r="E59" s="362"/>
      <c r="F59" s="332"/>
      <c r="G59" s="332"/>
      <c r="H59" s="332"/>
      <c r="I59" s="332"/>
      <c r="J59" s="332"/>
      <c r="K59" s="332"/>
    </row>
    <row r="60" spans="2:11">
      <c r="B60" s="16"/>
      <c r="C60" s="363" t="str">
        <f>IF('Język - Language'!$B$30="Polski","REKLAMA ODSŁONOWA (vCPM) NA SERWISACH","vCPM ADVERTISING ON SITES")</f>
        <v>REKLAMA ODSŁONOWA (vCPM) NA SERWISACH</v>
      </c>
      <c r="D60" s="361"/>
      <c r="E60" s="362"/>
      <c r="F60" s="332"/>
      <c r="G60" s="332"/>
      <c r="H60" s="332"/>
      <c r="I60" s="332"/>
      <c r="J60" s="332"/>
      <c r="K60" s="332"/>
    </row>
    <row r="61" spans="2:11" ht="25.5" customHeight="1">
      <c r="C61" s="716" t="str">
        <f>'Serwisy &amp; Pakiety'!C23</f>
        <v>KATEGORIE</v>
      </c>
      <c r="D61" s="716" t="str">
        <f>'Serwisy &amp; Pakiety'!D23</f>
        <v>MIEJSCE EMISJI</v>
      </c>
      <c r="E61" s="716"/>
      <c r="F61" s="716" t="str">
        <f>'Serwisy &amp; Pakiety'!F25</f>
        <v>MOBILE RECTANGLE</v>
      </c>
      <c r="G61" s="716"/>
      <c r="H61" s="716" t="str">
        <f>'Serwisy &amp; Pakiety'!H26</f>
        <v>MOBILE BANNER GÓRNY</v>
      </c>
      <c r="I61" s="716"/>
      <c r="J61" s="752" t="str">
        <f>'Serwisy &amp; Pakiety'!N25</f>
        <v>COMMERCIAL BREAK³</v>
      </c>
      <c r="K61" s="717"/>
    </row>
    <row r="62" spans="2:11" ht="25.5" customHeight="1">
      <c r="C62" s="716"/>
      <c r="D62" s="716"/>
      <c r="E62" s="716"/>
      <c r="F62" s="716" t="str">
        <f>'Serwisy &amp; Pakiety'!F27</f>
        <v>rozliczenie za widzialne odsłony wg standardu IAB, po statystykach wewnętrznych WPM¹</v>
      </c>
      <c r="G62" s="716"/>
      <c r="H62" s="716"/>
      <c r="I62" s="716"/>
      <c r="J62" s="716"/>
      <c r="K62" s="717"/>
    </row>
    <row r="63" spans="2:11" ht="12.75" customHeight="1">
      <c r="C63" s="716"/>
      <c r="D63" s="716"/>
      <c r="E63" s="716"/>
      <c r="F63" s="716" t="s">
        <v>178</v>
      </c>
      <c r="G63" s="716"/>
      <c r="H63" s="716"/>
      <c r="I63" s="716"/>
      <c r="J63" s="716"/>
      <c r="K63" s="717"/>
    </row>
    <row r="64" spans="2:11" ht="25.5" customHeight="1">
      <c r="B64" s="347"/>
      <c r="C64" s="352" t="str">
        <f>'Serwisy &amp; Pakiety'!C29</f>
        <v>WPM ZASIĘG</v>
      </c>
      <c r="D64" s="732" t="str">
        <f>'Serwisy &amp; Pakiety'!D29:E29</f>
        <v>WPM Zasięg (bez stron głównych o2 i WP oraz bez serwisów pocztowych)</v>
      </c>
      <c r="E64" s="733"/>
      <c r="F64" s="718">
        <f>'Serwisy &amp; Pakiety'!F29</f>
        <v>27</v>
      </c>
      <c r="G64" s="719"/>
      <c r="H64" s="718">
        <f>'Serwisy &amp; Pakiety'!H29</f>
        <v>41</v>
      </c>
      <c r="I64" s="719"/>
      <c r="J64" s="730" t="str">
        <f>'Serwisy &amp; Pakiety'!N29</f>
        <v>-</v>
      </c>
      <c r="K64" s="731"/>
    </row>
    <row r="65" spans="2:13" ht="25.5" customHeight="1">
      <c r="B65" s="347"/>
      <c r="C65" s="350" t="str">
        <f>'Serwisy &amp; Pakiety'!C30</f>
        <v>PREMIUM HP</v>
      </c>
      <c r="D65" s="724"/>
      <c r="E65" s="725"/>
      <c r="F65" s="734" t="str">
        <f>'Serwisy &amp; Pakiety'!F30</f>
        <v>-</v>
      </c>
      <c r="G65" s="735"/>
      <c r="H65" s="720">
        <f>'Serwisy &amp; Pakiety'!H30:I30</f>
        <v>80</v>
      </c>
      <c r="I65" s="721"/>
      <c r="J65" s="734" t="str">
        <f>'Serwisy &amp; Pakiety'!N30</f>
        <v>-</v>
      </c>
      <c r="K65" s="735"/>
    </row>
    <row r="66" spans="2:13" ht="25.5" customHeight="1">
      <c r="B66" s="347"/>
      <c r="C66" s="350" t="str">
        <f>'Serwisy &amp; Pakiety'!C31</f>
        <v>BIZNES</v>
      </c>
      <c r="D66" s="724" t="str">
        <f>'Serwisy &amp; Pakiety'!D31:E31</f>
        <v>WP Finanse</v>
      </c>
      <c r="E66" s="725"/>
      <c r="F66" s="720">
        <f>'Serwisy &amp; Pakiety'!F31</f>
        <v>120</v>
      </c>
      <c r="G66" s="721"/>
      <c r="H66" s="720">
        <f>'Serwisy &amp; Pakiety'!H31</f>
        <v>180</v>
      </c>
      <c r="I66" s="721"/>
      <c r="J66" s="742">
        <f>'Serwisy &amp; Pakiety'!N31</f>
        <v>310</v>
      </c>
      <c r="K66" s="721"/>
    </row>
    <row r="67" spans="2:13" ht="25.5" customHeight="1">
      <c r="B67" s="347"/>
      <c r="C67" s="350" t="str">
        <f>'Serwisy &amp; Pakiety'!C34</f>
        <v>INFO I SPORT</v>
      </c>
      <c r="D67" s="724" t="str">
        <f>'Serwisy &amp; Pakiety'!D34:E34</f>
        <v>WP Wiadomości</v>
      </c>
      <c r="E67" s="725"/>
      <c r="F67" s="720">
        <f>'Serwisy &amp; Pakiety'!F34</f>
        <v>70</v>
      </c>
      <c r="G67" s="721"/>
      <c r="H67" s="720">
        <f>'Serwisy &amp; Pakiety'!H34</f>
        <v>100</v>
      </c>
      <c r="I67" s="721"/>
      <c r="J67" s="720">
        <f>'Serwisy &amp; Pakiety'!N34</f>
        <v>190</v>
      </c>
      <c r="K67" s="721"/>
    </row>
    <row r="68" spans="2:13" ht="25.5" customHeight="1">
      <c r="B68" s="347"/>
      <c r="C68" s="350" t="str">
        <f>'Serwisy &amp; Pakiety'!C40</f>
        <v>MOTORYZACJA</v>
      </c>
      <c r="D68" s="724" t="str">
        <f>'Serwisy &amp; Pakiety'!D42:E42</f>
        <v>WP Autokult, WP Moto</v>
      </c>
      <c r="E68" s="725"/>
      <c r="F68" s="720">
        <f>'Serwisy &amp; Pakiety'!F42</f>
        <v>45</v>
      </c>
      <c r="G68" s="721"/>
      <c r="H68" s="720">
        <f>'Serwisy &amp; Pakiety'!H42</f>
        <v>68</v>
      </c>
      <c r="I68" s="721"/>
      <c r="J68" s="720">
        <f>'Serwisy &amp; Pakiety'!N42</f>
        <v>120</v>
      </c>
      <c r="K68" s="721"/>
    </row>
    <row r="69" spans="2:13" ht="42" customHeight="1">
      <c r="B69" s="347"/>
      <c r="C69" s="391" t="str">
        <f>'Serwisy &amp; Pakiety'!C43</f>
        <v>ROZRYWKA</v>
      </c>
      <c r="D69" s="724" t="str">
        <f>'Serwisy &amp; Pakiety'!D54:E54</f>
        <v>WP Film, WP Gwiazdy, WP Książki, WP Program TV, WP Teleshow, WP Pilot, WP Wideo, Pudelek, o2 serwisy, o2 warstwy, OpenFM</v>
      </c>
      <c r="E69" s="725"/>
      <c r="F69" s="720">
        <f>'Serwisy &amp; Pakiety'!F54</f>
        <v>30</v>
      </c>
      <c r="G69" s="721"/>
      <c r="H69" s="720">
        <f>'Serwisy &amp; Pakiety'!H54</f>
        <v>45</v>
      </c>
      <c r="I69" s="721"/>
      <c r="J69" s="720">
        <f>'Serwisy &amp; Pakiety'!N54</f>
        <v>78</v>
      </c>
      <c r="K69" s="721"/>
    </row>
    <row r="70" spans="2:13" ht="42" customHeight="1">
      <c r="B70" s="347"/>
      <c r="C70" s="350" t="str">
        <f>'Serwisy &amp; Pakiety'!C55</f>
        <v>STYL ŻYCIA</v>
      </c>
      <c r="D70" s="724" t="str">
        <f>'Serwisy &amp; Pakiety'!D64:E64</f>
        <v>WP abcZdrowie, WP Facet, WP Kobieta, Kafeteria.pl, WP Kuchnia, WP Parenting, WP Program TV, WP Turystyka, OpenFM</v>
      </c>
      <c r="E70" s="725"/>
      <c r="F70" s="720">
        <f>'Serwisy &amp; Pakiety'!F64</f>
        <v>45</v>
      </c>
      <c r="G70" s="721"/>
      <c r="H70" s="720">
        <f>'Serwisy &amp; Pakiety'!H64</f>
        <v>68</v>
      </c>
      <c r="I70" s="721"/>
      <c r="J70" s="720">
        <f>'Serwisy &amp; Pakiety'!N64</f>
        <v>120</v>
      </c>
      <c r="K70" s="721"/>
    </row>
    <row r="71" spans="2:13" ht="42" customHeight="1">
      <c r="B71" s="347"/>
      <c r="C71" s="350" t="str">
        <f>'Serwisy &amp; Pakiety'!C65</f>
        <v>TECHNOLOGIA</v>
      </c>
      <c r="D71" s="724" t="str">
        <f>'Serwisy &amp; Pakiety'!D71:E71</f>
        <v>WP Tech, WP Gry, WP Fotoblogia, WP Gadżetomania, WP Komórkomania, dobreprogramy.pl⁵</v>
      </c>
      <c r="E71" s="725"/>
      <c r="F71" s="720">
        <f>'Serwisy &amp; Pakiety'!F71</f>
        <v>45</v>
      </c>
      <c r="G71" s="721"/>
      <c r="H71" s="720">
        <f>'Serwisy &amp; Pakiety'!H71</f>
        <v>68</v>
      </c>
      <c r="I71" s="721"/>
      <c r="J71" s="720">
        <f>'Serwisy &amp; Pakiety'!N71</f>
        <v>120</v>
      </c>
      <c r="K71" s="721"/>
    </row>
    <row r="72" spans="2:13" ht="25.5" customHeight="1">
      <c r="B72" s="347"/>
      <c r="C72" s="350" t="str">
        <f>'Serwisy &amp; Pakiety'!C72</f>
        <v>ZDROWIE I PARENTING</v>
      </c>
      <c r="D72" s="724" t="str">
        <f>'Serwisy &amp; Pakiety'!D77:E77</f>
        <v>WP abcZdrowie, WP Fitness, WP Parenting, Medycyna24, Nerwica.com</v>
      </c>
      <c r="E72" s="725"/>
      <c r="F72" s="720">
        <f>'Serwisy &amp; Pakiety'!F77</f>
        <v>83</v>
      </c>
      <c r="G72" s="721"/>
      <c r="H72" s="720">
        <f>'Serwisy &amp; Pakiety'!H77</f>
        <v>120</v>
      </c>
      <c r="I72" s="721"/>
      <c r="J72" s="720">
        <f>'Serwisy &amp; Pakiety'!N77</f>
        <v>210</v>
      </c>
      <c r="K72" s="721"/>
    </row>
    <row r="73" spans="2:13" ht="25.5" customHeight="1">
      <c r="B73" s="347"/>
      <c r="C73" s="350" t="str">
        <f>'Serwisy &amp; Pakiety'!C78</f>
        <v>WIDEO I AUDIO</v>
      </c>
      <c r="D73" s="724" t="str">
        <f>'Serwisy &amp; Pakiety'!D81:E81</f>
        <v>WP Pilot, WP Wideo, OpenFM</v>
      </c>
      <c r="E73" s="725"/>
      <c r="F73" s="720">
        <f>'Serwisy &amp; Pakiety'!F81</f>
        <v>45</v>
      </c>
      <c r="G73" s="721"/>
      <c r="H73" s="720">
        <f>'Serwisy &amp; Pakiety'!H81</f>
        <v>68</v>
      </c>
      <c r="I73" s="721"/>
      <c r="J73" s="720" t="str">
        <f>'Serwisy &amp; Pakiety'!N81</f>
        <v>-</v>
      </c>
      <c r="K73" s="721"/>
    </row>
    <row r="74" spans="2:13" ht="42" customHeight="1">
      <c r="B74" s="347"/>
      <c r="C74" s="426" t="str">
        <f>'Serwisy &amp; Pakiety'!C106</f>
        <v>PAKIET SPECJALNY</v>
      </c>
      <c r="D74" s="738" t="str">
        <f>'Serwisy &amp; Pakiety'!D106:E106</f>
        <v>Min. 4 wybrane serwisy - BEZ SERWISÓW KATEGORII BIZNES oraz ZDROWIE I PRENTING</v>
      </c>
      <c r="E74" s="739"/>
      <c r="F74" s="722">
        <f>'Serwisy &amp; Pakiety'!F106</f>
        <v>67</v>
      </c>
      <c r="G74" s="723"/>
      <c r="H74" s="722">
        <f>'Serwisy &amp; Pakiety'!H106</f>
        <v>86</v>
      </c>
      <c r="I74" s="723"/>
      <c r="J74" s="722">
        <f>'Serwisy &amp; Pakiety'!N106</f>
        <v>150</v>
      </c>
      <c r="K74" s="723"/>
    </row>
    <row r="75" spans="2:13">
      <c r="B75" s="16"/>
      <c r="C75" s="362" t="str">
        <f>'Serwisy &amp; Pakiety'!C107</f>
        <v xml:space="preserve">¹ Ceny dotyczą rozliczenia vCPM po statystykach wewnętrznych WPM. W przypadku rozliczenia po statystykach zewnętrznych dopłata +20%. </v>
      </c>
      <c r="D75" s="430"/>
      <c r="E75" s="430"/>
      <c r="F75" s="340"/>
      <c r="G75" s="340"/>
      <c r="H75" s="340"/>
      <c r="I75" s="340"/>
      <c r="J75" s="340"/>
      <c r="K75" s="340"/>
      <c r="L75" s="340"/>
      <c r="M75" s="340"/>
    </row>
    <row r="76" spans="2:13">
      <c r="B76" s="16"/>
      <c r="C76" s="362" t="str">
        <f>'Serwisy &amp; Pakiety'!C109</f>
        <v>³ Format dostępny na wybranych serwisach.</v>
      </c>
      <c r="D76" s="430"/>
      <c r="E76" s="430"/>
      <c r="F76" s="340"/>
      <c r="G76" s="340"/>
      <c r="H76" s="340"/>
      <c r="I76" s="340"/>
      <c r="J76" s="340"/>
      <c r="K76" s="340"/>
      <c r="L76" s="340"/>
      <c r="M76" s="340"/>
    </row>
    <row r="77" spans="2:13">
      <c r="B77" s="16"/>
      <c r="C77" s="431" t="str">
        <f>'Serwisy &amp; Pakiety'!C110</f>
        <v>⁴ +100% do ceny wybranej kategorii w przypadku serwisu Pudelek.pl.</v>
      </c>
      <c r="D77" s="430"/>
      <c r="E77" s="430"/>
      <c r="F77" s="340"/>
      <c r="G77" s="340"/>
      <c r="H77" s="340"/>
      <c r="I77" s="340"/>
      <c r="J77" s="340"/>
      <c r="K77" s="340"/>
      <c r="L77" s="340"/>
      <c r="M77" s="340"/>
    </row>
    <row r="78" spans="2:13">
      <c r="B78" s="16"/>
      <c r="C78" s="431" t="str">
        <f>'Serwisy &amp; Pakiety'!C111</f>
        <v>⁵ Screening na dobreprogramy.pl sprzedawany wyłącznie poza pakietem.</v>
      </c>
      <c r="D78" s="430"/>
      <c r="E78" s="430"/>
      <c r="F78" s="340"/>
      <c r="G78" s="340"/>
      <c r="H78" s="340"/>
      <c r="I78" s="340"/>
      <c r="J78" s="340"/>
      <c r="K78" s="340"/>
      <c r="L78" s="340"/>
      <c r="M78" s="340"/>
    </row>
    <row r="79" spans="2:13">
      <c r="B79" s="16"/>
      <c r="C79" s="375"/>
      <c r="D79" s="375"/>
      <c r="E79" s="375"/>
      <c r="F79" s="332"/>
      <c r="G79" s="332"/>
      <c r="H79" s="397"/>
      <c r="I79" s="397"/>
      <c r="J79" s="397"/>
      <c r="K79" s="397"/>
    </row>
    <row r="80" spans="2:13" ht="12.75" customHeight="1">
      <c r="C80" s="364" t="str">
        <f>IF('Język - Language'!$B$30="Polski","REKLAMA DATA POWER","DATA POWER ADVERTISING")</f>
        <v>REKLAMA DATA POWER</v>
      </c>
    </row>
    <row r="81" spans="2:15" ht="29.25" customHeight="1">
      <c r="C81" s="716" t="str">
        <f>DataPower!B7</f>
        <v>KATEGORIE</v>
      </c>
      <c r="D81" s="716" t="str">
        <f>DataPower!C7</f>
        <v>PRZYKŁADOWE PROFILE</v>
      </c>
      <c r="E81" s="716"/>
      <c r="F81" s="716" t="str">
        <f>DataPower!F9</f>
        <v>MOBILE RECTANGLE</v>
      </c>
      <c r="G81" s="716"/>
      <c r="H81" s="716" t="str">
        <f>DataPower!H10</f>
        <v>MOBILE BANNER GÓRNY</v>
      </c>
      <c r="I81" s="716"/>
      <c r="J81" s="716" t="str">
        <f>DataPower!L9</f>
        <v>MOBILE SCREENING³</v>
      </c>
      <c r="K81" s="717"/>
      <c r="L81" s="752" t="str">
        <f>DataPower!N9</f>
        <v>COMMERCIAL BREAK³</v>
      </c>
      <c r="M81" s="717"/>
      <c r="N81" s="752" t="str">
        <f>DataPower!P9</f>
        <v>WIDEO</v>
      </c>
      <c r="O81" s="717"/>
    </row>
    <row r="82" spans="2:15" ht="25.5" customHeight="1">
      <c r="C82" s="716"/>
      <c r="D82" s="716"/>
      <c r="E82" s="716"/>
      <c r="F82" s="716" t="str">
        <f>DataPower!F11</f>
        <v>rozliczenie za widzialne odsłony wg standardu IAB¹</v>
      </c>
      <c r="G82" s="716"/>
      <c r="H82" s="716"/>
      <c r="I82" s="716"/>
      <c r="J82" s="716"/>
      <c r="K82" s="716"/>
      <c r="L82" s="716"/>
      <c r="M82" s="717"/>
      <c r="N82" s="756" t="str">
        <f>DataPower!P11</f>
        <v>rozliczenie CPM za rozpoczęte odtworzenia⁴</v>
      </c>
      <c r="O82" s="757"/>
    </row>
    <row r="83" spans="2:15" ht="12.75" customHeight="1">
      <c r="C83" s="716"/>
      <c r="D83" s="716"/>
      <c r="E83" s="716"/>
      <c r="F83" s="716" t="str">
        <f>DataPower!F12</f>
        <v>VCPM RC</v>
      </c>
      <c r="G83" s="716"/>
      <c r="H83" s="716" t="str">
        <f>DataPower!H12</f>
        <v>VCPM RC</v>
      </c>
      <c r="I83" s="716"/>
      <c r="J83" s="716" t="str">
        <f>DataPower!L12</f>
        <v>VCPM RC</v>
      </c>
      <c r="K83" s="716"/>
      <c r="L83" s="716" t="str">
        <f>DataPower!N12</f>
        <v>VCPM RC</v>
      </c>
      <c r="M83" s="717"/>
      <c r="N83" s="394" t="str">
        <f>DataPower!P12</f>
        <v>15"</v>
      </c>
      <c r="O83" s="390" t="str">
        <f>DataPower!Q12</f>
        <v>30" i dłuższy⁴</v>
      </c>
    </row>
    <row r="84" spans="2:15" ht="37.5" customHeight="1">
      <c r="B84" s="347"/>
      <c r="C84" s="352" t="str">
        <f>DataPower!B13</f>
        <v>BIZNES</v>
      </c>
      <c r="D84" s="740" t="str">
        <f>DataPower!C13</f>
        <v>Firma - Poszukujący pomysłu na biznes
Leasing
Podatki</v>
      </c>
      <c r="E84" s="741"/>
      <c r="F84" s="718">
        <f>DataPower!F13</f>
        <v>108</v>
      </c>
      <c r="G84" s="719"/>
      <c r="H84" s="718">
        <f>DataPower!H13</f>
        <v>162</v>
      </c>
      <c r="I84" s="719"/>
      <c r="J84" s="718">
        <f>DataPower!L13</f>
        <v>252</v>
      </c>
      <c r="K84" s="719"/>
      <c r="L84" s="718">
        <f>DataPower!N13</f>
        <v>282</v>
      </c>
      <c r="M84" s="719"/>
      <c r="N84" s="427" t="str">
        <f>DataPower!P13</f>
        <v>120 PLN</v>
      </c>
      <c r="O84" s="453" t="str">
        <f>DataPower!Q13</f>
        <v>180 PLN</v>
      </c>
    </row>
    <row r="85" spans="2:15" ht="37.5" customHeight="1">
      <c r="B85" s="347"/>
      <c r="C85" s="350" t="str">
        <f>DataPower!B14</f>
        <v>INFO I SPORT</v>
      </c>
      <c r="D85" s="736" t="str">
        <f>DataPower!C14</f>
        <v>Siatkówka
Piłka nożna - liga hiszpańska
Piłka ręczna</v>
      </c>
      <c r="E85" s="737"/>
      <c r="F85" s="720">
        <f>DataPower!F14</f>
        <v>66</v>
      </c>
      <c r="G85" s="721"/>
      <c r="H85" s="720">
        <f>DataPower!H14</f>
        <v>96</v>
      </c>
      <c r="I85" s="721"/>
      <c r="J85" s="720">
        <f>DataPower!L14</f>
        <v>150</v>
      </c>
      <c r="K85" s="721"/>
      <c r="L85" s="720">
        <f>DataPower!N14</f>
        <v>174</v>
      </c>
      <c r="M85" s="721"/>
      <c r="N85" s="427" t="str">
        <f>DataPower!P14</f>
        <v>100 PLN</v>
      </c>
      <c r="O85" s="453" t="str">
        <f>DataPower!Q14</f>
        <v>150 PLN</v>
      </c>
    </row>
    <row r="86" spans="2:15" ht="37.5" customHeight="1">
      <c r="B86" s="347"/>
      <c r="C86" s="350" t="str">
        <f>DataPower!B15</f>
        <v>MOTORYZACJA</v>
      </c>
      <c r="D86" s="736" t="str">
        <f>DataPower!C15</f>
        <v>Autosegment A
Design motoryzacyjny
Pojazdy zabytkowe</v>
      </c>
      <c r="E86" s="737"/>
      <c r="F86" s="720">
        <f>DataPower!F15</f>
        <v>54</v>
      </c>
      <c r="G86" s="721"/>
      <c r="H86" s="720">
        <f>DataPower!H15</f>
        <v>82</v>
      </c>
      <c r="I86" s="721"/>
      <c r="J86" s="720">
        <f>DataPower!L15</f>
        <v>127</v>
      </c>
      <c r="K86" s="721"/>
      <c r="L86" s="720">
        <f>DataPower!N15</f>
        <v>144</v>
      </c>
      <c r="M86" s="721"/>
      <c r="N86" s="427" t="str">
        <f>DataPower!P15</f>
        <v>100 PLN</v>
      </c>
      <c r="O86" s="453" t="str">
        <f>DataPower!Q15</f>
        <v>150 PLN</v>
      </c>
    </row>
    <row r="87" spans="2:15" ht="37.5" customHeight="1">
      <c r="B87" s="347"/>
      <c r="C87" s="350" t="str">
        <f>DataPower!B16</f>
        <v>ROZRYWKA</v>
      </c>
      <c r="D87" s="736" t="str">
        <f>DataPower!C16</f>
        <v>Film, kino and seriale
Ekologia
Zainteresowani esportem</v>
      </c>
      <c r="E87" s="737"/>
      <c r="F87" s="720">
        <f>DataPower!F16</f>
        <v>36</v>
      </c>
      <c r="G87" s="721"/>
      <c r="H87" s="720">
        <f>DataPower!H16</f>
        <v>54</v>
      </c>
      <c r="I87" s="721"/>
      <c r="J87" s="720">
        <f>DataPower!L16</f>
        <v>84</v>
      </c>
      <c r="K87" s="721"/>
      <c r="L87" s="720">
        <f>DataPower!N16</f>
        <v>94</v>
      </c>
      <c r="M87" s="721"/>
      <c r="N87" s="427" t="str">
        <f>DataPower!P16</f>
        <v>100 PLN</v>
      </c>
      <c r="O87" s="453" t="str">
        <f>DataPower!Q16</f>
        <v>150 PLN</v>
      </c>
    </row>
    <row r="88" spans="2:15" ht="37.5" customHeight="1">
      <c r="B88" s="347"/>
      <c r="C88" s="350" t="str">
        <f>DataPower!B17</f>
        <v>STYL ŻYCIA</v>
      </c>
      <c r="D88" s="736" t="str">
        <f>DataPower!C17</f>
        <v>Uroda - Zabiegi kosmetyczne (SPA)
Kulinaria - Kuchnia meksykańska
Turystyka - Wyjazdy rodzinne (morze)
Dom i wnętrze</v>
      </c>
      <c r="E88" s="737"/>
      <c r="F88" s="720">
        <f>DataPower!F17</f>
        <v>54</v>
      </c>
      <c r="G88" s="721"/>
      <c r="H88" s="720">
        <f>DataPower!H17</f>
        <v>82</v>
      </c>
      <c r="I88" s="721"/>
      <c r="J88" s="720">
        <f>DataPower!L17</f>
        <v>127</v>
      </c>
      <c r="K88" s="721"/>
      <c r="L88" s="720">
        <f>DataPower!N17</f>
        <v>144</v>
      </c>
      <c r="M88" s="721"/>
      <c r="N88" s="427" t="str">
        <f>DataPower!P17</f>
        <v>100 PLN</v>
      </c>
      <c r="O88" s="453" t="str">
        <f>DataPower!Q17</f>
        <v>150 PLN</v>
      </c>
    </row>
    <row r="89" spans="2:15" ht="37.5" customHeight="1">
      <c r="B89" s="347"/>
      <c r="C89" s="350" t="str">
        <f>DataPower!B18</f>
        <v>TECHNOLOGIA</v>
      </c>
      <c r="D89" s="736" t="str">
        <f>DataPower!C18</f>
        <v>Sprzęt AGD
Konsole i gry
Inteligentny dom</v>
      </c>
      <c r="E89" s="737"/>
      <c r="F89" s="720">
        <f>DataPower!F18</f>
        <v>54</v>
      </c>
      <c r="G89" s="721"/>
      <c r="H89" s="720">
        <f>DataPower!H18</f>
        <v>82</v>
      </c>
      <c r="I89" s="721"/>
      <c r="J89" s="720">
        <f>DataPower!L18</f>
        <v>127</v>
      </c>
      <c r="K89" s="721"/>
      <c r="L89" s="720">
        <f>DataPower!N18</f>
        <v>144</v>
      </c>
      <c r="M89" s="721"/>
      <c r="N89" s="427" t="str">
        <f>DataPower!P18</f>
        <v>100 PLN</v>
      </c>
      <c r="O89" s="453">
        <f>DataPower!Q18</f>
        <v>150</v>
      </c>
    </row>
    <row r="90" spans="2:15" ht="37.5" customHeight="1">
      <c r="B90" s="347"/>
      <c r="C90" s="426" t="str">
        <f>DataPower!B19</f>
        <v>ZDROWIE I PARENTING</v>
      </c>
      <c r="D90" s="745" t="str">
        <f>DataPower!C19</f>
        <v>Rodzina - Pięlęgnacja niemowlaka
Zdrowie
Grypa i przeziębienie
Medycyna naturalna</v>
      </c>
      <c r="E90" s="746"/>
      <c r="F90" s="722">
        <f>DataPower!F19</f>
        <v>99</v>
      </c>
      <c r="G90" s="723"/>
      <c r="H90" s="722">
        <f>DataPower!H19</f>
        <v>144</v>
      </c>
      <c r="I90" s="723"/>
      <c r="J90" s="722">
        <f>DataPower!L19</f>
        <v>224</v>
      </c>
      <c r="K90" s="723"/>
      <c r="L90" s="722">
        <f>DataPower!N19</f>
        <v>252</v>
      </c>
      <c r="M90" s="723"/>
      <c r="N90" s="428" t="str">
        <f>DataPower!P19</f>
        <v>180 PLN</v>
      </c>
      <c r="O90" s="452">
        <f>DataPower!Q19</f>
        <v>240</v>
      </c>
    </row>
    <row r="91" spans="2:15" ht="37.5" customHeight="1">
      <c r="B91" s="347"/>
      <c r="C91" s="352" t="str">
        <f>DataPower!B20</f>
        <v>GEOTARGETOWANIE</v>
      </c>
      <c r="D91" s="747" t="str">
        <f>DataPower!C20</f>
        <v>Województwa, miasta, konkretna lokalizacja</v>
      </c>
      <c r="E91" s="748"/>
      <c r="F91" s="718" t="str">
        <f>DataPower!D20</f>
        <v>+50%</v>
      </c>
      <c r="G91" s="750"/>
      <c r="H91" s="750"/>
      <c r="I91" s="750"/>
      <c r="J91" s="750"/>
      <c r="K91" s="750"/>
      <c r="L91" s="750"/>
      <c r="M91" s="750"/>
      <c r="N91" s="750"/>
      <c r="O91" s="719"/>
    </row>
    <row r="92" spans="2:15" ht="37.5" customHeight="1">
      <c r="B92" s="347"/>
      <c r="C92" s="350" t="str">
        <f>DataPower!B21</f>
        <v>RAPORT AUDIENCE</v>
      </c>
      <c r="D92" s="736" t="str">
        <f>DataPower!C21</f>
        <v>Podsumowanie kampanii zawierającej raport Audience Discovery czyli pełny profil użytkownika (wersja podstawowa i rozszerzona). 
Segmenty tworzymy pod konkretnego klienta lub konkretną kampanię.</v>
      </c>
      <c r="E92" s="737"/>
      <c r="F92" s="720" t="str">
        <f>DataPower!D21</f>
        <v>+50%</v>
      </c>
      <c r="G92" s="742"/>
      <c r="H92" s="742"/>
      <c r="I92" s="742"/>
      <c r="J92" s="742"/>
      <c r="K92" s="742"/>
      <c r="L92" s="742"/>
      <c r="M92" s="742"/>
      <c r="N92" s="742"/>
      <c r="O92" s="721"/>
    </row>
    <row r="93" spans="2:15" ht="37.5" customHeight="1">
      <c r="B93" s="347"/>
      <c r="C93" s="351" t="str">
        <f>DataPower!B22</f>
        <v>PROFIL DEDYKOWANY</v>
      </c>
      <c r="D93" s="745" t="str">
        <f>DataPower!C22</f>
        <v>Unikalne grupy tworzone na potrzeby klienta / kampanii.</v>
      </c>
      <c r="E93" s="746"/>
      <c r="F93" s="722" t="str">
        <f>DataPower!D22</f>
        <v>+30%</v>
      </c>
      <c r="G93" s="749"/>
      <c r="H93" s="749"/>
      <c r="I93" s="749"/>
      <c r="J93" s="749"/>
      <c r="K93" s="749"/>
      <c r="L93" s="749"/>
      <c r="M93" s="749"/>
      <c r="N93" s="749"/>
      <c r="O93" s="723"/>
    </row>
    <row r="94" spans="2:15">
      <c r="C94" s="429" t="str">
        <f>DataPower!B23</f>
        <v>¹ Ceny dotyczą rozliczenia vCPM zgodnego ze standardem IAB po statystykach wewnętrznych WPM. Dla innych standardów obowiązuje wycena indywidualna.</v>
      </c>
    </row>
    <row r="95" spans="2:15">
      <c r="C95" s="429" t="str">
        <f>DataPower!B25</f>
        <v>³ Format dostępny na wybranych serwisach.</v>
      </c>
    </row>
    <row r="96" spans="2:15">
      <c r="C96" s="429" t="str">
        <f>DataPower!B26</f>
        <v>⁴ +20% za emisję video z kodów emisyjnych.</v>
      </c>
    </row>
  </sheetData>
  <mergeCells count="172">
    <mergeCell ref="D31:E31"/>
    <mergeCell ref="F31:K31"/>
    <mergeCell ref="C17:D18"/>
    <mergeCell ref="C19:C24"/>
    <mergeCell ref="J19:K19"/>
    <mergeCell ref="E19:F19"/>
    <mergeCell ref="E20:F20"/>
    <mergeCell ref="E21:F21"/>
    <mergeCell ref="E22:F22"/>
    <mergeCell ref="E23:F23"/>
    <mergeCell ref="E24:F24"/>
    <mergeCell ref="E18:F18"/>
    <mergeCell ref="E17:H17"/>
    <mergeCell ref="G18:H18"/>
    <mergeCell ref="G19:H19"/>
    <mergeCell ref="G20:H20"/>
    <mergeCell ref="G21:H21"/>
    <mergeCell ref="F30:K30"/>
    <mergeCell ref="C8:D9"/>
    <mergeCell ref="C39:D39"/>
    <mergeCell ref="D61:E63"/>
    <mergeCell ref="F63:K63"/>
    <mergeCell ref="E55:E57"/>
    <mergeCell ref="C41:D41"/>
    <mergeCell ref="F62:K62"/>
    <mergeCell ref="C38:D38"/>
    <mergeCell ref="C40:D40"/>
    <mergeCell ref="C46:D47"/>
    <mergeCell ref="E47:F47"/>
    <mergeCell ref="C53:D54"/>
    <mergeCell ref="C55:D55"/>
    <mergeCell ref="C56:D56"/>
    <mergeCell ref="C57:D57"/>
    <mergeCell ref="C61:C63"/>
    <mergeCell ref="F61:G61"/>
    <mergeCell ref="J61:K61"/>
    <mergeCell ref="H61:I61"/>
    <mergeCell ref="C35:D36"/>
    <mergeCell ref="C37:D37"/>
    <mergeCell ref="C10:C11"/>
    <mergeCell ref="E35:F35"/>
    <mergeCell ref="C28:E30"/>
    <mergeCell ref="N81:O81"/>
    <mergeCell ref="N82:O82"/>
    <mergeCell ref="H81:I81"/>
    <mergeCell ref="F81:G81"/>
    <mergeCell ref="F82:M82"/>
    <mergeCell ref="L81:M81"/>
    <mergeCell ref="L83:M83"/>
    <mergeCell ref="H86:I86"/>
    <mergeCell ref="L85:M85"/>
    <mergeCell ref="L84:M84"/>
    <mergeCell ref="L86:M86"/>
    <mergeCell ref="H85:I85"/>
    <mergeCell ref="H84:I84"/>
    <mergeCell ref="J90:K90"/>
    <mergeCell ref="G1:M3"/>
    <mergeCell ref="K40:N40"/>
    <mergeCell ref="L33:M33"/>
    <mergeCell ref="J33:K33"/>
    <mergeCell ref="M37:N37"/>
    <mergeCell ref="K37:L37"/>
    <mergeCell ref="K38:N39"/>
    <mergeCell ref="G35:H35"/>
    <mergeCell ref="G36:H36"/>
    <mergeCell ref="G37:H37"/>
    <mergeCell ref="G38:H38"/>
    <mergeCell ref="G40:H40"/>
    <mergeCell ref="G39:H39"/>
    <mergeCell ref="L19:M19"/>
    <mergeCell ref="G22:H22"/>
    <mergeCell ref="G23:H23"/>
    <mergeCell ref="G24:H24"/>
    <mergeCell ref="I8:J8"/>
    <mergeCell ref="I9:J9"/>
    <mergeCell ref="I10:J10"/>
    <mergeCell ref="I11:J11"/>
    <mergeCell ref="F28:K28"/>
    <mergeCell ref="F29:K29"/>
    <mergeCell ref="G41:H41"/>
    <mergeCell ref="D93:E93"/>
    <mergeCell ref="D86:E86"/>
    <mergeCell ref="D87:E87"/>
    <mergeCell ref="D88:E88"/>
    <mergeCell ref="D89:E89"/>
    <mergeCell ref="D90:E90"/>
    <mergeCell ref="F86:G86"/>
    <mergeCell ref="F90:G90"/>
    <mergeCell ref="F89:G89"/>
    <mergeCell ref="F88:G88"/>
    <mergeCell ref="F87:G87"/>
    <mergeCell ref="D92:E92"/>
    <mergeCell ref="D91:E91"/>
    <mergeCell ref="F92:O92"/>
    <mergeCell ref="F93:O93"/>
    <mergeCell ref="F91:O91"/>
    <mergeCell ref="L90:M90"/>
    <mergeCell ref="L89:M89"/>
    <mergeCell ref="L88:M88"/>
    <mergeCell ref="L87:M87"/>
    <mergeCell ref="H90:I90"/>
    <mergeCell ref="H89:I89"/>
    <mergeCell ref="H88:I88"/>
    <mergeCell ref="F72:G72"/>
    <mergeCell ref="F73:G73"/>
    <mergeCell ref="F74:G74"/>
    <mergeCell ref="H73:I73"/>
    <mergeCell ref="F71:G71"/>
    <mergeCell ref="H74:I74"/>
    <mergeCell ref="H83:I83"/>
    <mergeCell ref="H87:I87"/>
    <mergeCell ref="J66:K66"/>
    <mergeCell ref="J67:K67"/>
    <mergeCell ref="J68:K68"/>
    <mergeCell ref="J89:K89"/>
    <mergeCell ref="F85:G85"/>
    <mergeCell ref="J83:K83"/>
    <mergeCell ref="F84:G84"/>
    <mergeCell ref="J81:K81"/>
    <mergeCell ref="J88:K88"/>
    <mergeCell ref="J87:K87"/>
    <mergeCell ref="J86:K86"/>
    <mergeCell ref="J85:K85"/>
    <mergeCell ref="J84:K84"/>
    <mergeCell ref="J65:K65"/>
    <mergeCell ref="F66:G66"/>
    <mergeCell ref="F67:G67"/>
    <mergeCell ref="H66:I66"/>
    <mergeCell ref="H67:I67"/>
    <mergeCell ref="F68:G68"/>
    <mergeCell ref="F69:G69"/>
    <mergeCell ref="D67:E67"/>
    <mergeCell ref="D85:E85"/>
    <mergeCell ref="H70:I70"/>
    <mergeCell ref="H71:I71"/>
    <mergeCell ref="J74:K74"/>
    <mergeCell ref="J71:K71"/>
    <mergeCell ref="J72:K72"/>
    <mergeCell ref="H72:I72"/>
    <mergeCell ref="D81:E83"/>
    <mergeCell ref="D74:E74"/>
    <mergeCell ref="D71:E71"/>
    <mergeCell ref="D72:E72"/>
    <mergeCell ref="D70:E70"/>
    <mergeCell ref="J70:K70"/>
    <mergeCell ref="F83:G83"/>
    <mergeCell ref="D84:E84"/>
    <mergeCell ref="F70:G70"/>
    <mergeCell ref="E36:F36"/>
    <mergeCell ref="E37:F37"/>
    <mergeCell ref="E38:F38"/>
    <mergeCell ref="E39:F39"/>
    <mergeCell ref="E40:F40"/>
    <mergeCell ref="E41:F41"/>
    <mergeCell ref="C81:C83"/>
    <mergeCell ref="J73:K73"/>
    <mergeCell ref="D73:E73"/>
    <mergeCell ref="F55:F57"/>
    <mergeCell ref="E54:G54"/>
    <mergeCell ref="H64:I64"/>
    <mergeCell ref="J64:K64"/>
    <mergeCell ref="F64:G64"/>
    <mergeCell ref="D69:E69"/>
    <mergeCell ref="D64:E64"/>
    <mergeCell ref="D68:E68"/>
    <mergeCell ref="D65:E65"/>
    <mergeCell ref="D66:E66"/>
    <mergeCell ref="J69:K69"/>
    <mergeCell ref="H68:I68"/>
    <mergeCell ref="H69:I69"/>
    <mergeCell ref="H65:I65"/>
    <mergeCell ref="F65:G65"/>
  </mergeCells>
  <pageMargins left="0.7" right="0.7" top="0.75" bottom="0.75" header="0.3" footer="0.3"/>
  <pageSetup paperSize="9" orientation="portrait" r:id="rId1"/>
  <ignoredErrors>
    <ignoredError sqref="H65" formulaRange="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R70"/>
  <sheetViews>
    <sheetView zoomScaleNormal="100" workbookViewId="0">
      <pane ySplit="4" topLeftCell="A5" activePane="bottomLeft" state="frozen"/>
      <selection pane="bottomLeft"/>
    </sheetView>
  </sheetViews>
  <sheetFormatPr defaultColWidth="11.42578125" defaultRowHeight="12.75"/>
  <cols>
    <col min="1" max="1" width="2.85546875" style="233" customWidth="1"/>
    <col min="2" max="2" width="2.85546875" style="67" customWidth="1"/>
    <col min="3" max="3" width="25" style="67" customWidth="1"/>
    <col min="4" max="4" width="25.7109375" style="67" customWidth="1"/>
    <col min="5" max="7" width="25.5703125" style="67" customWidth="1"/>
    <col min="8" max="8" width="25.5703125" style="109" customWidth="1"/>
    <col min="9" max="9" width="25.5703125" style="67" customWidth="1"/>
    <col min="10" max="10" width="10" style="67" customWidth="1"/>
    <col min="11" max="11" width="15.42578125" style="67" customWidth="1"/>
    <col min="12" max="14" width="13.42578125" style="67" customWidth="1"/>
    <col min="15" max="15" width="11" style="67" customWidth="1"/>
    <col min="16" max="16" width="24" style="67" customWidth="1"/>
    <col min="17" max="16384" width="11.42578125" style="67"/>
  </cols>
  <sheetData>
    <row r="1" spans="1:18" ht="12.75" customHeight="1">
      <c r="A1" s="319"/>
      <c r="B1" s="313"/>
      <c r="C1" s="15" t="s">
        <v>32</v>
      </c>
      <c r="D1" s="15"/>
      <c r="E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F1" s="589"/>
      <c r="G1" s="589"/>
      <c r="H1" s="589"/>
      <c r="I1" s="321"/>
      <c r="J1" s="78"/>
      <c r="K1" s="319"/>
      <c r="L1" s="319"/>
      <c r="M1" s="319"/>
      <c r="N1" s="319"/>
      <c r="O1" s="319"/>
      <c r="P1" s="319"/>
      <c r="Q1" s="319"/>
      <c r="R1" s="319"/>
    </row>
    <row r="2" spans="1:18" ht="12.75" customHeight="1">
      <c r="A2" s="319"/>
      <c r="B2" s="319"/>
      <c r="C2" s="319"/>
      <c r="D2" s="319"/>
      <c r="E2" s="589"/>
      <c r="F2" s="589"/>
      <c r="G2" s="589"/>
      <c r="H2" s="589"/>
      <c r="I2" s="321"/>
      <c r="J2" s="78"/>
      <c r="K2" s="319"/>
      <c r="L2" s="319"/>
      <c r="M2" s="319"/>
      <c r="N2" s="319"/>
      <c r="O2" s="319"/>
      <c r="P2" s="319"/>
      <c r="Q2" s="319"/>
      <c r="R2" s="319"/>
    </row>
    <row r="3" spans="1:18">
      <c r="A3" s="319"/>
      <c r="B3" s="319"/>
      <c r="C3" s="319"/>
      <c r="D3" s="319"/>
      <c r="E3" s="589"/>
      <c r="F3" s="589"/>
      <c r="G3" s="589"/>
      <c r="H3" s="589"/>
      <c r="I3" s="321"/>
      <c r="J3" s="78"/>
      <c r="K3" s="319"/>
      <c r="L3" s="319"/>
      <c r="M3" s="319"/>
      <c r="N3" s="319"/>
      <c r="O3" s="319"/>
      <c r="P3" s="319"/>
      <c r="Q3" s="319"/>
      <c r="R3" s="319"/>
    </row>
    <row r="4" spans="1:18" s="34" customFormat="1" ht="12.75" customHeight="1">
      <c r="A4" s="322"/>
      <c r="B4" s="322"/>
      <c r="C4" s="107" t="str">
        <f>IF('Język - Language'!$B$30="Polski","            Emisje dobowe i tygodniowe","            Flat Fee daily and weekly emission")</f>
        <v xml:space="preserve">            Emisje dobowe i tygodniowe</v>
      </c>
      <c r="D4" s="79"/>
      <c r="E4" s="79"/>
      <c r="F4" s="79"/>
      <c r="G4" s="322"/>
      <c r="H4" s="312" t="str">
        <f>IF('Język - Language'!$B$30="Polski","PL","EN")</f>
        <v>PL</v>
      </c>
      <c r="I4" s="322"/>
      <c r="J4" s="322"/>
      <c r="K4" s="322"/>
      <c r="L4" s="322"/>
      <c r="M4" s="322"/>
      <c r="N4" s="322"/>
      <c r="O4" s="322"/>
      <c r="P4" s="322"/>
      <c r="Q4" s="322"/>
      <c r="R4" s="322"/>
    </row>
    <row r="5" spans="1:18" s="3" customFormat="1" ht="12.75" customHeight="1">
      <c r="A5" s="313"/>
      <c r="B5" s="313"/>
      <c r="C5" s="9"/>
      <c r="D5" s="9"/>
      <c r="E5" s="9"/>
      <c r="F5" s="9"/>
      <c r="G5" s="313"/>
      <c r="H5" s="313"/>
      <c r="I5" s="313"/>
      <c r="J5" s="313"/>
      <c r="K5" s="313"/>
      <c r="L5" s="313"/>
      <c r="M5" s="313"/>
      <c r="N5" s="313"/>
      <c r="O5" s="313"/>
      <c r="P5" s="313"/>
      <c r="Q5" s="313"/>
      <c r="R5" s="313"/>
    </row>
    <row r="6" spans="1:18" ht="12.75" customHeight="1">
      <c r="A6" s="319"/>
      <c r="B6" s="319"/>
      <c r="C6" s="32"/>
      <c r="D6" s="32"/>
      <c r="E6" s="32"/>
      <c r="F6" s="32"/>
      <c r="G6" s="32"/>
      <c r="H6" s="32"/>
      <c r="I6" s="32"/>
      <c r="J6" s="32"/>
      <c r="K6" s="32"/>
      <c r="L6" s="32"/>
      <c r="M6" s="32"/>
      <c r="N6" s="32"/>
      <c r="O6" s="32"/>
      <c r="P6" s="82"/>
      <c r="Q6" s="313"/>
      <c r="R6" s="319"/>
    </row>
    <row r="7" spans="1:18" ht="25.5" customHeight="1">
      <c r="A7" s="319"/>
      <c r="B7" s="319"/>
      <c r="C7" s="203" t="str">
        <f>IF('Język - Language'!$B$30="Polski",CONCATENATE("PANEL PREMIUM",CHAR(10),"MIEJSCE EMISJI"),CONCATENATE("PANEL PREMIUM",CHAR(10),"PLACE OF EMISSION"))</f>
        <v>PANEL PREMIUM
MIEJSCE EMISJI</v>
      </c>
      <c r="D7" s="380" t="str">
        <f>IF('Język - Language'!$B$30="Polski","FORMAT","FORMAT")</f>
        <v>FORMAT</v>
      </c>
      <c r="E7" s="688" t="str">
        <f>IF('Język - Language'!$B$30="Polski","MODEL EMISJI","MODEL OF EMISSION")</f>
        <v>MODEL EMISJI</v>
      </c>
      <c r="F7" s="688"/>
      <c r="G7" s="688" t="str">
        <f>IF('Język - Language'!$B$30="Polski","CENA","PRICE")</f>
        <v>CENA</v>
      </c>
      <c r="H7" s="712"/>
      <c r="I7" s="38"/>
      <c r="J7" s="38"/>
      <c r="K7" s="8"/>
      <c r="L7" s="8"/>
      <c r="M7" s="26"/>
      <c r="N7" s="313"/>
      <c r="O7" s="313"/>
      <c r="P7" s="313"/>
      <c r="Q7" s="313"/>
      <c r="R7" s="313"/>
    </row>
    <row r="8" spans="1:18" s="263" customFormat="1" ht="12.75" customHeight="1">
      <c r="A8" s="319"/>
      <c r="B8" s="810" t="s">
        <v>33</v>
      </c>
      <c r="C8" s="837" t="s">
        <v>30</v>
      </c>
      <c r="D8" s="389" t="str">
        <f>IF('Język - Language'!$B$30="Polski","Panel Premium","Panel Premium")</f>
        <v>Panel Premium</v>
      </c>
      <c r="E8" s="802"/>
      <c r="F8" s="803"/>
      <c r="G8" s="541" t="str">
        <f>IF('Język - Language'!$B$30="Polski","385 000 PLN (styczeń-październik),","375 000 PLN (Jan-Oct),")</f>
        <v>385 000 PLN (styczeń-październik),</v>
      </c>
      <c r="H8" s="548" t="str">
        <f>IF('Język - Language'!$B$30="Polski","450 000 PLN (listopad-grudzień)","450 000 PLN (Nov-Dec)")</f>
        <v>450 000 PLN (listopad-grudzień)</v>
      </c>
      <c r="I8" s="38"/>
      <c r="J8" s="38"/>
      <c r="K8" s="8"/>
      <c r="L8" s="8"/>
      <c r="M8" s="26"/>
      <c r="N8" s="313"/>
      <c r="O8" s="313"/>
      <c r="P8" s="313"/>
      <c r="Q8" s="313"/>
      <c r="R8" s="313"/>
    </row>
    <row r="9" spans="1:18" s="89" customFormat="1" ht="12.75" customHeight="1">
      <c r="A9" s="319"/>
      <c r="B9" s="810"/>
      <c r="C9" s="837"/>
      <c r="D9" s="196" t="str">
        <f>IF('Język - Language'!$B$30="Polski","Panel Premium XL","Panel Premium XL")</f>
        <v>Panel Premium XL</v>
      </c>
      <c r="E9" s="802"/>
      <c r="F9" s="803"/>
      <c r="G9" s="541" t="str">
        <f>IF('Język - Language'!$B$30="Polski","470 000 PLN (styczeń-październik),","470 000 PLN (Jan-Oct),")</f>
        <v>470 000 PLN (styczeń-październik),</v>
      </c>
      <c r="H9" s="548" t="str">
        <f>IF('Język - Language'!$B$30="Polski","565 000 PLN (listopad-grudzień)","565 000 PLN (Nov-Dec)")</f>
        <v>565 000 PLN (listopad-grudzień)</v>
      </c>
      <c r="I9" s="38"/>
      <c r="J9" s="38"/>
      <c r="K9" s="8"/>
      <c r="L9" s="8"/>
      <c r="M9" s="26"/>
      <c r="N9" s="313"/>
      <c r="O9" s="313"/>
      <c r="P9" s="313"/>
      <c r="Q9" s="313"/>
      <c r="R9" s="313"/>
    </row>
    <row r="10" spans="1:18" s="319" customFormat="1" ht="12.75" customHeight="1">
      <c r="B10" s="810"/>
      <c r="C10" s="837"/>
      <c r="D10" s="196" t="str">
        <f>IF('Język - Language'!$B$30="Polski","WP Box w module Wiadomości FF","WP Box in the News category FF")</f>
        <v>WP Box w module Wiadomości FF</v>
      </c>
      <c r="E10" s="802"/>
      <c r="F10" s="803"/>
      <c r="G10" s="539" t="str">
        <f>IF('Język - Language'!$B$30="Polski","130 000 PLN (styczeń-październik),","130 000 PLN (Jan-Oct),")</f>
        <v>130 000 PLN (styczeń-październik),</v>
      </c>
      <c r="H10" s="540" t="str">
        <f>IF('Język - Language'!$B$30="Polski","155 000 PLN (listopad-grudzień)","155 000 PLN (Nov-Dec)")</f>
        <v>155 000 PLN (listopad-grudzień)</v>
      </c>
      <c r="I10" s="38"/>
      <c r="J10" s="38"/>
      <c r="K10" s="8"/>
      <c r="L10" s="8"/>
      <c r="M10" s="26"/>
      <c r="N10" s="313"/>
      <c r="O10" s="313"/>
      <c r="P10" s="313"/>
      <c r="Q10" s="313"/>
      <c r="R10" s="313"/>
    </row>
    <row r="11" spans="1:18" s="319" customFormat="1" ht="12.75" customHeight="1">
      <c r="B11" s="810"/>
      <c r="C11" s="837"/>
      <c r="D11" s="196" t="str">
        <f>IF('Język - Language'!$B$30="Polski","WP Box w module Sport FF","WP Box in the Sport category FF")</f>
        <v>WP Box w module Sport FF</v>
      </c>
      <c r="E11" s="802"/>
      <c r="F11" s="803"/>
      <c r="G11" s="539" t="str">
        <f>IF('Język - Language'!$B$30="Polski","90 000 PLN (styczeń-październik),","90 000 PLN (Jan-Oct),")</f>
        <v>90 000 PLN (styczeń-październik),</v>
      </c>
      <c r="H11" s="540" t="str">
        <f>IF('Język - Language'!$B$30="Polski","105 000 PLN (listopad-grudzień)","105 000 PLN (Nov-Dec)")</f>
        <v>105 000 PLN (listopad-grudzień)</v>
      </c>
      <c r="I11" s="38"/>
      <c r="J11" s="38"/>
      <c r="K11" s="8"/>
      <c r="L11" s="8"/>
      <c r="M11" s="26"/>
      <c r="N11" s="313"/>
      <c r="O11" s="313"/>
      <c r="P11" s="313"/>
      <c r="Q11" s="313"/>
      <c r="R11" s="313"/>
    </row>
    <row r="12" spans="1:18" s="319" customFormat="1" ht="12.75" customHeight="1">
      <c r="B12" s="810"/>
      <c r="C12" s="837"/>
      <c r="D12" s="196" t="str">
        <f>IF('Język - Language'!$B$30="Polski","WP Box w module Biznes FF","WP Box in the Business category FF")</f>
        <v>WP Box w module Biznes FF</v>
      </c>
      <c r="E12" s="802"/>
      <c r="F12" s="803"/>
      <c r="G12" s="539" t="str">
        <f>IF('Język - Language'!$B$30="Polski","63 000 PLN (styczeń-październik),","63 000 PLN (Jan-Oct),")</f>
        <v>63 000 PLN (styczeń-październik),</v>
      </c>
      <c r="H12" s="540" t="str">
        <f>IF('Język - Language'!$B$30="Polski","72 000 PLN (listopad-grudzień)","72 000 PLN (Nov-Dec)")</f>
        <v>72 000 PLN (listopad-grudzień)</v>
      </c>
      <c r="I12" s="38"/>
      <c r="J12" s="38"/>
      <c r="K12" s="8"/>
      <c r="L12" s="8"/>
      <c r="M12" s="26"/>
      <c r="N12" s="313"/>
      <c r="O12" s="313"/>
      <c r="P12" s="313"/>
      <c r="Q12" s="313"/>
      <c r="R12" s="313"/>
    </row>
    <row r="13" spans="1:18" s="319" customFormat="1" ht="12.75" customHeight="1">
      <c r="B13" s="810"/>
      <c r="C13" s="838"/>
      <c r="D13" s="547" t="str">
        <f>IF('Język - Language'!$B$30="Polski","Belka reklamowa FF²","Advertising bar FF²")</f>
        <v>Belka reklamowa FF²</v>
      </c>
      <c r="E13" s="796"/>
      <c r="F13" s="797"/>
      <c r="G13" s="804">
        <v>135000</v>
      </c>
      <c r="H13" s="805"/>
      <c r="I13" s="38"/>
      <c r="J13" s="38"/>
      <c r="K13" s="8"/>
      <c r="L13" s="8"/>
      <c r="M13" s="26"/>
      <c r="N13" s="313"/>
      <c r="O13" s="313"/>
      <c r="P13" s="313"/>
      <c r="Q13" s="313"/>
      <c r="R13" s="313"/>
    </row>
    <row r="14" spans="1:18" s="89" customFormat="1" ht="12.75" customHeight="1">
      <c r="A14" s="319"/>
      <c r="B14" s="810"/>
      <c r="C14" s="776" t="str">
        <f>IF('Język - Language'!$B$30="Polski","   Pudelek SG","   Pudelek Home Page")</f>
        <v xml:space="preserve">   Pudelek SG</v>
      </c>
      <c r="D14" s="383" t="str">
        <f>IF('Język - Language'!$B$30="Polski","Panel Premium","Panel Premium")</f>
        <v>Panel Premium</v>
      </c>
      <c r="E14" s="794" t="str">
        <f>IF('Język - Language'!$B$30="Polski","Flat Fee / dzień","Flat Fee / 1 day")</f>
        <v>Flat Fee / dzień</v>
      </c>
      <c r="F14" s="795"/>
      <c r="G14" s="792">
        <v>30000</v>
      </c>
      <c r="H14" s="793"/>
      <c r="I14" s="38"/>
      <c r="J14" s="38"/>
      <c r="K14" s="8"/>
      <c r="L14" s="8"/>
      <c r="M14" s="26"/>
      <c r="N14" s="313"/>
      <c r="O14" s="313"/>
      <c r="P14" s="313"/>
      <c r="Q14" s="313"/>
      <c r="R14" s="313"/>
    </row>
    <row r="15" spans="1:18" s="89" customFormat="1" ht="12.75" customHeight="1">
      <c r="A15" s="319"/>
      <c r="B15" s="810"/>
      <c r="C15" s="777"/>
      <c r="D15" s="377" t="str">
        <f>IF('Język - Language'!$B$30="Polski","Panel Premium XL","Panel Premium XL")</f>
        <v>Panel Premium XL</v>
      </c>
      <c r="E15" s="796"/>
      <c r="F15" s="797"/>
      <c r="G15" s="782">
        <v>37500</v>
      </c>
      <c r="H15" s="783"/>
      <c r="I15" s="38"/>
      <c r="J15" s="38"/>
      <c r="K15" s="8"/>
      <c r="L15" s="8"/>
      <c r="M15" s="26"/>
      <c r="N15" s="313"/>
      <c r="O15" s="313"/>
      <c r="P15" s="313"/>
      <c r="Q15" s="313"/>
      <c r="R15" s="313"/>
    </row>
    <row r="16" spans="1:18" s="89" customFormat="1" ht="12.75" customHeight="1">
      <c r="A16" s="319"/>
      <c r="B16" s="810"/>
      <c r="C16" s="204" t="str">
        <f>IF('Język - Language'!$B$30="Polski","Poczta WP","WP Email Service")</f>
        <v>Poczta WP</v>
      </c>
      <c r="D16" s="836" t="str">
        <f>IF('Język - Language'!$B$30="Polski","Panel Premium","Panel Premium")</f>
        <v>Panel Premium</v>
      </c>
      <c r="E16" s="780" t="str">
        <f>IF('Język - Language'!$B$30="Polski","Flat Fee (z wykluczeniami) / dzień","Flat Fee (exclusions) / 1 day")</f>
        <v>Flat Fee (z wykluczeniami) / dzień</v>
      </c>
      <c r="F16" s="781"/>
      <c r="G16" s="790">
        <v>110000</v>
      </c>
      <c r="H16" s="791"/>
      <c r="I16" s="38"/>
      <c r="J16" s="38"/>
      <c r="K16" s="8"/>
      <c r="L16" s="8"/>
      <c r="M16" s="26"/>
      <c r="N16" s="313"/>
      <c r="O16" s="313"/>
      <c r="P16" s="313"/>
      <c r="Q16" s="313"/>
      <c r="R16" s="313"/>
    </row>
    <row r="17" spans="1:18" s="89" customFormat="1" ht="12.75" customHeight="1">
      <c r="A17" s="319"/>
      <c r="B17" s="810"/>
      <c r="C17" s="205" t="s">
        <v>34</v>
      </c>
      <c r="D17" s="837"/>
      <c r="E17" s="798" t="str">
        <f>IF('Język - Language'!$B$30="Polski","Flat Fee / tydzień","Flat Fee / 1 week")</f>
        <v>Flat Fee / tydzień</v>
      </c>
      <c r="F17" s="799"/>
      <c r="G17" s="792">
        <v>25000</v>
      </c>
      <c r="H17" s="793"/>
      <c r="I17" s="38"/>
      <c r="J17" s="38"/>
      <c r="K17" s="8"/>
      <c r="L17" s="8"/>
      <c r="M17" s="26"/>
      <c r="N17" s="313"/>
      <c r="O17" s="313"/>
      <c r="P17" s="313"/>
      <c r="Q17" s="313"/>
      <c r="R17" s="313"/>
    </row>
    <row r="18" spans="1:18" s="89" customFormat="1" ht="12.75" customHeight="1">
      <c r="A18" s="319"/>
      <c r="B18" s="810"/>
      <c r="C18" s="197" t="s">
        <v>35</v>
      </c>
      <c r="D18" s="837"/>
      <c r="E18" s="830"/>
      <c r="F18" s="831"/>
      <c r="G18" s="784">
        <v>20000</v>
      </c>
      <c r="H18" s="785"/>
      <c r="I18" s="38"/>
      <c r="J18" s="38"/>
      <c r="K18" s="8"/>
      <c r="L18" s="8"/>
      <c r="M18" s="26"/>
      <c r="N18" s="313"/>
      <c r="O18" s="313"/>
      <c r="P18" s="313"/>
      <c r="Q18" s="313"/>
      <c r="R18" s="313"/>
    </row>
    <row r="19" spans="1:18" s="89" customFormat="1" ht="12.75" customHeight="1">
      <c r="A19" s="319"/>
      <c r="B19" s="810"/>
      <c r="C19" s="197" t="s">
        <v>36</v>
      </c>
      <c r="D19" s="837"/>
      <c r="E19" s="830"/>
      <c r="F19" s="831"/>
      <c r="G19" s="784">
        <v>20000</v>
      </c>
      <c r="H19" s="785"/>
      <c r="I19" s="38"/>
      <c r="J19" s="38"/>
      <c r="K19" s="8"/>
      <c r="L19" s="8"/>
      <c r="M19" s="26"/>
      <c r="N19" s="313"/>
      <c r="O19" s="313"/>
      <c r="P19" s="313"/>
      <c r="Q19" s="313"/>
      <c r="R19" s="313"/>
    </row>
    <row r="20" spans="1:18" s="89" customFormat="1" ht="12.75" customHeight="1">
      <c r="A20" s="319"/>
      <c r="B20" s="810"/>
      <c r="C20" s="196" t="s">
        <v>37</v>
      </c>
      <c r="D20" s="837"/>
      <c r="E20" s="830"/>
      <c r="F20" s="831"/>
      <c r="G20" s="784">
        <v>20000</v>
      </c>
      <c r="H20" s="785"/>
      <c r="I20" s="38"/>
      <c r="J20" s="38"/>
      <c r="K20" s="8"/>
      <c r="L20" s="8"/>
      <c r="M20" s="26"/>
      <c r="N20" s="313"/>
      <c r="O20" s="313"/>
      <c r="P20" s="313"/>
      <c r="Q20" s="313"/>
      <c r="R20" s="313"/>
    </row>
    <row r="21" spans="1:18" s="319" customFormat="1" ht="12.75" customHeight="1">
      <c r="B21" s="810"/>
      <c r="C21" s="196" t="s">
        <v>31</v>
      </c>
      <c r="D21" s="837"/>
      <c r="E21" s="830"/>
      <c r="F21" s="831"/>
      <c r="G21" s="784">
        <v>240000</v>
      </c>
      <c r="H21" s="785"/>
      <c r="I21" s="38"/>
      <c r="J21" s="38"/>
      <c r="K21" s="8"/>
      <c r="L21" s="8"/>
      <c r="M21" s="26"/>
      <c r="N21" s="313"/>
      <c r="O21" s="313"/>
      <c r="P21" s="313"/>
      <c r="Q21" s="313"/>
      <c r="R21" s="313"/>
    </row>
    <row r="22" spans="1:18" s="132" customFormat="1" ht="12.75" customHeight="1">
      <c r="A22" s="319"/>
      <c r="B22" s="810"/>
      <c r="C22" s="196" t="str">
        <f>IF('Język - Language'!$B$30="Polski","SG Money","Money Home Page")</f>
        <v>SG Money</v>
      </c>
      <c r="D22" s="837"/>
      <c r="E22" s="830"/>
      <c r="F22" s="831"/>
      <c r="G22" s="784">
        <v>50000</v>
      </c>
      <c r="H22" s="785"/>
      <c r="I22" s="38"/>
      <c r="J22" s="38"/>
      <c r="K22" s="8"/>
      <c r="L22" s="8"/>
      <c r="M22" s="26"/>
      <c r="N22" s="313"/>
      <c r="O22" s="313"/>
      <c r="P22" s="313"/>
      <c r="Q22" s="313"/>
      <c r="R22" s="313"/>
    </row>
    <row r="23" spans="1:18" s="132" customFormat="1" ht="12.75" customHeight="1">
      <c r="A23" s="319"/>
      <c r="B23" s="810"/>
      <c r="C23" s="399" t="str">
        <f>IF('Język - Language'!$B$30="Polski","dobreprogramy¹","dobreprogramy¹")</f>
        <v>dobreprogramy¹</v>
      </c>
      <c r="D23" s="837"/>
      <c r="E23" s="800"/>
      <c r="F23" s="801"/>
      <c r="G23" s="804">
        <v>25000</v>
      </c>
      <c r="H23" s="805"/>
      <c r="I23" s="38"/>
      <c r="J23" s="38"/>
      <c r="K23" s="8"/>
      <c r="L23" s="8"/>
      <c r="M23" s="26"/>
      <c r="N23" s="313"/>
      <c r="O23" s="313"/>
      <c r="P23" s="313"/>
      <c r="Q23" s="313"/>
      <c r="R23" s="313"/>
    </row>
    <row r="24" spans="1:18" s="89" customFormat="1" ht="12.75" customHeight="1">
      <c r="A24" s="319"/>
      <c r="B24" s="810"/>
      <c r="C24" s="398" t="s">
        <v>38</v>
      </c>
      <c r="D24" s="837"/>
      <c r="E24" s="798" t="str">
        <f>IF('Język - Language'!$B$30="Polski","Flat Fee / dzień","Flat Fee / 1 day")</f>
        <v>Flat Fee / dzień</v>
      </c>
      <c r="F24" s="799"/>
      <c r="G24" s="792">
        <v>60000</v>
      </c>
      <c r="H24" s="793"/>
      <c r="I24" s="38"/>
      <c r="J24" s="38"/>
      <c r="K24" s="8"/>
      <c r="L24" s="8"/>
      <c r="M24" s="26"/>
      <c r="N24" s="313"/>
      <c r="O24" s="313"/>
      <c r="P24" s="313"/>
      <c r="Q24" s="313"/>
      <c r="R24" s="313"/>
    </row>
    <row r="25" spans="1:18" s="89" customFormat="1" ht="12.75" customHeight="1">
      <c r="A25" s="319"/>
      <c r="B25" s="811"/>
      <c r="C25" s="198" t="s">
        <v>39</v>
      </c>
      <c r="D25" s="838"/>
      <c r="E25" s="800"/>
      <c r="F25" s="801"/>
      <c r="G25" s="782">
        <v>20000</v>
      </c>
      <c r="H25" s="783"/>
      <c r="I25" s="38"/>
      <c r="J25" s="38"/>
      <c r="K25" s="8"/>
      <c r="L25" s="8"/>
      <c r="M25" s="26"/>
      <c r="N25" s="313"/>
      <c r="O25" s="313"/>
      <c r="P25" s="313"/>
      <c r="Q25" s="313"/>
      <c r="R25" s="313"/>
    </row>
    <row r="26" spans="1:18" s="132" customFormat="1" ht="12.75" customHeight="1">
      <c r="A26" s="319"/>
      <c r="B26" s="256"/>
      <c r="C26" s="222" t="str">
        <f>IF('Język - Language'!$B$30="Polski","¹ emisja z wyłączeniem forum.dobreprogramy.pl","¹ emission without section forum.dobreprogramy.pl")</f>
        <v>¹ emisja z wyłączeniem forum.dobreprogramy.pl</v>
      </c>
      <c r="D26" s="408"/>
      <c r="E26" s="202"/>
      <c r="F26" s="202"/>
      <c r="G26" s="202"/>
      <c r="H26" s="202"/>
      <c r="I26" s="38"/>
      <c r="J26" s="38"/>
      <c r="K26" s="8"/>
      <c r="L26" s="8"/>
      <c r="M26" s="26"/>
      <c r="N26" s="313"/>
      <c r="O26" s="313"/>
      <c r="P26" s="313"/>
      <c r="Q26" s="313"/>
      <c r="R26" s="313"/>
    </row>
    <row r="27" spans="1:18" s="116" customFormat="1" ht="12.75" customHeight="1">
      <c r="A27" s="319"/>
      <c r="B27" s="319"/>
      <c r="C27" s="136"/>
      <c r="D27" s="136"/>
      <c r="E27" s="83"/>
      <c r="F27" s="83"/>
      <c r="G27" s="38"/>
      <c r="H27" s="38"/>
      <c r="I27" s="8"/>
      <c r="J27" s="8"/>
      <c r="K27" s="26"/>
      <c r="L27" s="313"/>
      <c r="M27" s="313"/>
      <c r="N27" s="313"/>
      <c r="O27" s="313"/>
      <c r="P27" s="313"/>
      <c r="Q27" s="319"/>
      <c r="R27" s="319"/>
    </row>
    <row r="28" spans="1:18" s="110" customFormat="1">
      <c r="A28" s="319"/>
      <c r="B28" s="319"/>
      <c r="C28" s="136"/>
      <c r="D28" s="136"/>
      <c r="E28" s="83"/>
      <c r="F28" s="83"/>
      <c r="G28" s="38"/>
      <c r="H28" s="38"/>
      <c r="I28" s="8"/>
      <c r="J28" s="8"/>
      <c r="K28" s="26"/>
      <c r="L28" s="313"/>
      <c r="M28" s="313"/>
      <c r="N28" s="313"/>
      <c r="O28" s="313"/>
      <c r="P28" s="313"/>
      <c r="Q28" s="319"/>
      <c r="R28" s="319"/>
    </row>
    <row r="29" spans="1:18" s="113" customFormat="1" ht="25.5" customHeight="1">
      <c r="A29" s="319"/>
      <c r="B29" s="319"/>
      <c r="C29" s="833" t="str">
        <f>IF('Język - Language'!$B$30="Polski",CONCATENATE("NAGŁÓWEK SPONSOROWANY",CHAR(10),"MIEJSCE EMISJI"),CONCATENATE("SPONSORED HEADING",CHAR(10),"PLACE OF EMISSION"))</f>
        <v>NAGŁÓWEK SPONSOROWANY
MIEJSCE EMISJI</v>
      </c>
      <c r="D29" s="833"/>
      <c r="E29" s="829" t="str">
        <f>IF('Język - Language'!$B$30="Polski",CONCATENATE("Nagłówek sponsorowany standard",CHAR(10),"(FF / tydzień)"),CONCATENATE("Sponsored heading standard",CHAR(10),"(FF / week)"))</f>
        <v>Nagłówek sponsorowany standard
(FF / tydzień)</v>
      </c>
      <c r="F29" s="829"/>
      <c r="G29" s="829" t="str">
        <f>IF('Język - Language'!$B$30="Polski","Nagłówek sponsorowany (FF / tydzień) + tapeta (cap 1xuu / dzień)","Sponsored heading (FF / week) + Wallpaper (cap 1xuu / day)")</f>
        <v>Nagłówek sponsorowany (FF / tydzień) + tapeta (cap 1xuu / dzień)</v>
      </c>
      <c r="H29" s="832"/>
      <c r="I29" s="7"/>
      <c r="J29" s="369"/>
      <c r="K29" s="369"/>
      <c r="L29" s="319"/>
      <c r="M29" s="319"/>
      <c r="N29" s="319"/>
      <c r="O29" s="319"/>
      <c r="P29" s="319"/>
      <c r="Q29" s="319"/>
      <c r="R29" s="319"/>
    </row>
    <row r="30" spans="1:18" s="113" customFormat="1" ht="12.75" customHeight="1">
      <c r="A30" s="319"/>
      <c r="B30" s="810" t="s">
        <v>33</v>
      </c>
      <c r="C30" s="834" t="s">
        <v>42</v>
      </c>
      <c r="D30" s="835"/>
      <c r="E30" s="827">
        <v>60000</v>
      </c>
      <c r="F30" s="828"/>
      <c r="G30" s="827">
        <v>80000</v>
      </c>
      <c r="H30" s="828"/>
      <c r="I30" s="260"/>
      <c r="J30" s="369"/>
      <c r="K30" s="369"/>
      <c r="L30" s="369"/>
      <c r="M30" s="319"/>
      <c r="N30" s="313"/>
      <c r="O30" s="319"/>
      <c r="P30" s="319"/>
      <c r="Q30" s="319"/>
      <c r="R30" s="319"/>
    </row>
    <row r="31" spans="1:18" s="113" customFormat="1" ht="12.75" customHeight="1">
      <c r="A31" s="319"/>
      <c r="B31" s="810"/>
      <c r="C31" s="806" t="s">
        <v>198</v>
      </c>
      <c r="D31" s="807"/>
      <c r="E31" s="778">
        <v>150000</v>
      </c>
      <c r="F31" s="779"/>
      <c r="G31" s="778">
        <v>210000</v>
      </c>
      <c r="H31" s="779"/>
      <c r="I31" s="260"/>
      <c r="J31" s="369"/>
      <c r="K31" s="369"/>
      <c r="L31" s="369"/>
      <c r="M31" s="319"/>
      <c r="N31" s="313"/>
      <c r="O31" s="319"/>
      <c r="P31" s="319"/>
      <c r="Q31" s="319"/>
      <c r="R31" s="319"/>
    </row>
    <row r="32" spans="1:18" s="113" customFormat="1" ht="12.75" customHeight="1">
      <c r="A32" s="319"/>
      <c r="B32" s="810"/>
      <c r="C32" s="806" t="s">
        <v>40</v>
      </c>
      <c r="D32" s="807"/>
      <c r="E32" s="778">
        <v>230000</v>
      </c>
      <c r="F32" s="779"/>
      <c r="G32" s="778">
        <v>290000</v>
      </c>
      <c r="H32" s="779"/>
      <c r="I32" s="260"/>
      <c r="J32" s="369"/>
      <c r="K32" s="369"/>
      <c r="L32" s="369"/>
      <c r="M32" s="319"/>
      <c r="N32" s="313"/>
      <c r="O32" s="319"/>
      <c r="P32" s="319"/>
      <c r="Q32" s="319"/>
      <c r="R32" s="319"/>
    </row>
    <row r="33" spans="1:18" s="113" customFormat="1" ht="12.75" customHeight="1">
      <c r="A33" s="319"/>
      <c r="B33" s="810"/>
      <c r="C33" s="806" t="s">
        <v>31</v>
      </c>
      <c r="D33" s="807"/>
      <c r="E33" s="778">
        <v>200000</v>
      </c>
      <c r="F33" s="779"/>
      <c r="G33" s="778">
        <v>280000</v>
      </c>
      <c r="H33" s="779"/>
      <c r="I33" s="260"/>
      <c r="J33" s="369"/>
      <c r="K33" s="369"/>
      <c r="L33" s="369"/>
      <c r="M33" s="319"/>
      <c r="N33" s="313"/>
      <c r="O33" s="319"/>
      <c r="P33" s="319"/>
      <c r="Q33" s="319"/>
      <c r="R33" s="319"/>
    </row>
    <row r="34" spans="1:18" s="117" customFormat="1" ht="12.75" customHeight="1">
      <c r="A34" s="319"/>
      <c r="B34" s="810"/>
      <c r="C34" s="806" t="s">
        <v>34</v>
      </c>
      <c r="D34" s="807"/>
      <c r="E34" s="778">
        <v>30000</v>
      </c>
      <c r="F34" s="779"/>
      <c r="G34" s="778">
        <v>40000</v>
      </c>
      <c r="H34" s="779"/>
      <c r="I34" s="260"/>
      <c r="J34" s="369"/>
      <c r="K34" s="369"/>
      <c r="L34" s="369"/>
      <c r="M34" s="319"/>
      <c r="N34" s="313"/>
      <c r="O34" s="319"/>
      <c r="P34" s="319"/>
      <c r="Q34" s="319"/>
      <c r="R34" s="319"/>
    </row>
    <row r="35" spans="1:18" s="113" customFormat="1" ht="12.75" customHeight="1">
      <c r="A35" s="319"/>
      <c r="B35" s="810"/>
      <c r="C35" s="806" t="s">
        <v>41</v>
      </c>
      <c r="D35" s="807"/>
      <c r="E35" s="778">
        <v>25000</v>
      </c>
      <c r="F35" s="779"/>
      <c r="G35" s="778">
        <v>30000</v>
      </c>
      <c r="H35" s="779"/>
      <c r="I35" s="260"/>
      <c r="J35" s="369"/>
      <c r="K35" s="369"/>
      <c r="L35" s="369"/>
      <c r="M35" s="319"/>
      <c r="N35" s="313"/>
      <c r="O35" s="319"/>
      <c r="P35" s="319"/>
      <c r="Q35" s="319"/>
      <c r="R35" s="319"/>
    </row>
    <row r="36" spans="1:18" s="117" customFormat="1" ht="12.75" customHeight="1">
      <c r="A36" s="319"/>
      <c r="B36" s="810"/>
      <c r="C36" s="806" t="s">
        <v>43</v>
      </c>
      <c r="D36" s="807"/>
      <c r="E36" s="778">
        <v>32000</v>
      </c>
      <c r="F36" s="779"/>
      <c r="G36" s="778">
        <v>45000</v>
      </c>
      <c r="H36" s="779"/>
      <c r="I36" s="260"/>
      <c r="J36" s="369"/>
      <c r="K36" s="369"/>
      <c r="L36" s="369"/>
      <c r="M36" s="319"/>
      <c r="N36" s="313"/>
      <c r="O36" s="319"/>
      <c r="P36" s="319"/>
      <c r="Q36" s="319"/>
      <c r="R36" s="319"/>
    </row>
    <row r="37" spans="1:18" s="117" customFormat="1" ht="12.75" customHeight="1">
      <c r="A37" s="319"/>
      <c r="B37" s="810"/>
      <c r="C37" s="806" t="s">
        <v>182</v>
      </c>
      <c r="D37" s="807"/>
      <c r="E37" s="778">
        <v>30000</v>
      </c>
      <c r="F37" s="779"/>
      <c r="G37" s="778">
        <v>40000</v>
      </c>
      <c r="H37" s="779"/>
      <c r="I37" s="260"/>
      <c r="J37" s="369"/>
      <c r="K37" s="369"/>
      <c r="L37" s="369"/>
      <c r="M37" s="319"/>
      <c r="N37" s="313"/>
    </row>
    <row r="38" spans="1:18" s="117" customFormat="1" ht="12.75" customHeight="1">
      <c r="A38" s="319"/>
      <c r="B38" s="810"/>
      <c r="C38" s="806" t="s">
        <v>45</v>
      </c>
      <c r="D38" s="807"/>
      <c r="E38" s="778">
        <v>65000</v>
      </c>
      <c r="F38" s="779"/>
      <c r="G38" s="778">
        <v>85000</v>
      </c>
      <c r="H38" s="779"/>
      <c r="I38" s="260"/>
      <c r="J38" s="369"/>
      <c r="K38" s="369"/>
      <c r="L38" s="369"/>
      <c r="M38" s="319"/>
      <c r="N38" s="313"/>
    </row>
    <row r="39" spans="1:18" s="117" customFormat="1" ht="12.75" customHeight="1">
      <c r="A39" s="319"/>
      <c r="B39" s="810"/>
      <c r="C39" s="806" t="s">
        <v>47</v>
      </c>
      <c r="D39" s="807"/>
      <c r="E39" s="778">
        <v>25000</v>
      </c>
      <c r="F39" s="779"/>
      <c r="G39" s="778">
        <v>30000</v>
      </c>
      <c r="H39" s="779"/>
      <c r="I39" s="260"/>
      <c r="J39" s="369"/>
      <c r="K39" s="369"/>
      <c r="L39" s="369"/>
      <c r="M39" s="319"/>
      <c r="N39" s="313"/>
    </row>
    <row r="40" spans="1:18" s="117" customFormat="1" ht="12.75" customHeight="1">
      <c r="A40" s="319"/>
      <c r="B40" s="810"/>
      <c r="C40" s="806" t="s">
        <v>44</v>
      </c>
      <c r="D40" s="807"/>
      <c r="E40" s="778">
        <v>25000</v>
      </c>
      <c r="F40" s="779"/>
      <c r="G40" s="778">
        <v>30000</v>
      </c>
      <c r="H40" s="779"/>
      <c r="I40" s="260"/>
      <c r="J40" s="369"/>
      <c r="K40" s="369"/>
      <c r="L40" s="369"/>
      <c r="M40" s="319"/>
      <c r="N40" s="313"/>
    </row>
    <row r="41" spans="1:18" s="113" customFormat="1" ht="12.75" customHeight="1">
      <c r="A41" s="319"/>
      <c r="B41" s="810"/>
      <c r="C41" s="812" t="s">
        <v>38</v>
      </c>
      <c r="D41" s="813"/>
      <c r="E41" s="816">
        <v>80000</v>
      </c>
      <c r="F41" s="817"/>
      <c r="G41" s="816">
        <v>100000</v>
      </c>
      <c r="H41" s="817"/>
      <c r="I41" s="260"/>
      <c r="J41" s="369"/>
      <c r="K41" s="369"/>
      <c r="L41" s="369"/>
      <c r="M41" s="319"/>
      <c r="N41" s="313"/>
    </row>
    <row r="42" spans="1:18" s="259" customFormat="1" ht="12.75" customHeight="1">
      <c r="A42" s="319"/>
      <c r="B42" s="255"/>
      <c r="C42" s="258"/>
      <c r="D42" s="258"/>
      <c r="E42" s="257"/>
      <c r="F42" s="257"/>
      <c r="G42" s="257"/>
      <c r="H42" s="257"/>
      <c r="I42" s="260"/>
      <c r="J42" s="369"/>
      <c r="K42" s="369"/>
      <c r="L42" s="369"/>
      <c r="M42" s="319"/>
      <c r="N42" s="313"/>
    </row>
    <row r="43" spans="1:18" s="116" customFormat="1" ht="12.75" customHeight="1">
      <c r="A43" s="319"/>
      <c r="B43" s="319"/>
      <c r="C43" s="118"/>
      <c r="D43" s="118"/>
      <c r="E43" s="119"/>
      <c r="F43" s="119"/>
      <c r="G43" s="119"/>
      <c r="H43" s="119"/>
      <c r="I43" s="369"/>
      <c r="J43" s="369"/>
      <c r="K43" s="369"/>
      <c r="L43" s="319"/>
      <c r="M43" s="313"/>
      <c r="N43" s="319"/>
    </row>
    <row r="44" spans="1:18" s="123" customFormat="1" ht="25.5" customHeight="1">
      <c r="A44" s="319"/>
      <c r="B44" s="319"/>
      <c r="C44" s="822" t="str">
        <f>IF('Język - Language'!$B$30="Polski",CONCATENATE("SPONSORING NAGŁÓWKA SEKCJI WP SG",CHAR(10),"MIEJSCE EMISJI"),CONCATENATE("SPONSORING OF WP HP SECTION HEADING",CHAR(10),"PLACE OF EMISSION"))</f>
        <v>SPONSORING NAGŁÓWKA SEKCJI WP SG
MIEJSCE EMISJI</v>
      </c>
      <c r="D44" s="822"/>
      <c r="E44" s="223" t="str">
        <f>IF('Język - Language'!$B$30="Polski","MODEL EMISJI","MODEL OF EMISSION")</f>
        <v>MODEL EMISJI</v>
      </c>
      <c r="F44" s="223" t="str">
        <f>IF('Język - Language'!$B$30="Polski","DZIEŃ","1 DAY")</f>
        <v>DZIEŃ</v>
      </c>
      <c r="G44" s="223" t="str">
        <f>IF('Język - Language'!$B$30="Polski","TYDZIEŃ","1 WEEK")</f>
        <v>TYDZIEŃ</v>
      </c>
      <c r="H44" s="224" t="str">
        <f>IF('Język - Language'!$B$30="Polski","MIESIĄC","1 MONTH")</f>
        <v>MIESIĄC</v>
      </c>
      <c r="I44" s="369"/>
      <c r="J44" s="369"/>
      <c r="K44" s="369"/>
      <c r="L44" s="319"/>
      <c r="M44" s="313"/>
      <c r="N44" s="319"/>
    </row>
    <row r="45" spans="1:18" s="123" customFormat="1" ht="12.75" customHeight="1">
      <c r="A45" s="319"/>
      <c r="B45" s="810" t="s">
        <v>33</v>
      </c>
      <c r="C45" s="206" t="s">
        <v>49</v>
      </c>
      <c r="D45" s="207"/>
      <c r="E45" s="786" t="str">
        <f>IF('Język - Language'!$B$30="Polski","Flat Fee","Flat Fee")</f>
        <v>Flat Fee</v>
      </c>
      <c r="F45" s="248">
        <v>39600</v>
      </c>
      <c r="G45" s="248">
        <v>198000</v>
      </c>
      <c r="H45" s="249">
        <v>495000</v>
      </c>
      <c r="I45" s="369"/>
      <c r="J45" s="369"/>
      <c r="K45" s="369"/>
      <c r="L45" s="319"/>
      <c r="M45" s="313"/>
      <c r="N45" s="319"/>
    </row>
    <row r="46" spans="1:18" s="123" customFormat="1" ht="12.75" customHeight="1">
      <c r="A46" s="319"/>
      <c r="B46" s="810"/>
      <c r="C46" s="208" t="s">
        <v>50</v>
      </c>
      <c r="D46" s="209"/>
      <c r="E46" s="786"/>
      <c r="F46" s="250">
        <v>32760</v>
      </c>
      <c r="G46" s="250">
        <v>163800</v>
      </c>
      <c r="H46" s="251">
        <v>409500</v>
      </c>
      <c r="I46" s="369"/>
      <c r="J46" s="369"/>
      <c r="K46" s="369"/>
      <c r="L46" s="319"/>
      <c r="M46" s="313"/>
      <c r="N46" s="319"/>
    </row>
    <row r="47" spans="1:18" s="123" customFormat="1" ht="12.75" customHeight="1">
      <c r="A47" s="319"/>
      <c r="B47" s="810"/>
      <c r="C47" s="208" t="s">
        <v>51</v>
      </c>
      <c r="D47" s="209"/>
      <c r="E47" s="786"/>
      <c r="F47" s="250">
        <v>29160</v>
      </c>
      <c r="G47" s="250">
        <v>145800</v>
      </c>
      <c r="H47" s="250">
        <v>364500</v>
      </c>
      <c r="I47" s="369"/>
      <c r="J47" s="369"/>
      <c r="K47" s="369"/>
      <c r="L47" s="319"/>
      <c r="M47" s="313"/>
      <c r="N47" s="319"/>
    </row>
    <row r="48" spans="1:18" s="123" customFormat="1" ht="12.75" customHeight="1">
      <c r="A48" s="319"/>
      <c r="B48" s="810"/>
      <c r="C48" s="208" t="s">
        <v>52</v>
      </c>
      <c r="D48" s="209"/>
      <c r="E48" s="786"/>
      <c r="F48" s="250">
        <v>22680</v>
      </c>
      <c r="G48" s="250">
        <v>113400</v>
      </c>
      <c r="H48" s="250">
        <v>283500</v>
      </c>
      <c r="I48" s="369"/>
      <c r="J48" s="369"/>
      <c r="K48" s="369"/>
      <c r="L48" s="319"/>
      <c r="M48" s="313"/>
      <c r="N48" s="319"/>
    </row>
    <row r="49" spans="1:17" s="124" customFormat="1" ht="12.75" customHeight="1">
      <c r="A49" s="319"/>
      <c r="B49" s="810"/>
      <c r="C49" s="208" t="s">
        <v>53</v>
      </c>
      <c r="D49" s="209"/>
      <c r="E49" s="786"/>
      <c r="F49" s="250">
        <v>25560</v>
      </c>
      <c r="G49" s="250">
        <v>127800</v>
      </c>
      <c r="H49" s="251">
        <v>319500</v>
      </c>
      <c r="I49" s="369"/>
      <c r="J49" s="369"/>
      <c r="K49" s="369"/>
      <c r="L49" s="319"/>
      <c r="M49" s="313"/>
      <c r="N49" s="319"/>
    </row>
    <row r="50" spans="1:17" s="125" customFormat="1" ht="12.75" customHeight="1">
      <c r="A50" s="319"/>
      <c r="B50" s="810"/>
      <c r="C50" s="210" t="s">
        <v>54</v>
      </c>
      <c r="D50" s="209"/>
      <c r="E50" s="786"/>
      <c r="F50" s="250">
        <v>24120</v>
      </c>
      <c r="G50" s="251">
        <v>120600</v>
      </c>
      <c r="H50" s="251">
        <v>301500</v>
      </c>
      <c r="I50" s="369"/>
      <c r="J50" s="369"/>
      <c r="K50" s="369"/>
      <c r="L50" s="319"/>
      <c r="M50" s="313"/>
      <c r="N50" s="319"/>
      <c r="O50" s="319"/>
      <c r="P50" s="319"/>
      <c r="Q50" s="319"/>
    </row>
    <row r="51" spans="1:17" s="125" customFormat="1" ht="12.75" customHeight="1">
      <c r="A51" s="319"/>
      <c r="B51" s="810"/>
      <c r="C51" s="211" t="s">
        <v>55</v>
      </c>
      <c r="D51" s="212"/>
      <c r="E51" s="787"/>
      <c r="F51" s="252">
        <v>21600</v>
      </c>
      <c r="G51" s="247">
        <v>108000</v>
      </c>
      <c r="H51" s="247">
        <v>270000</v>
      </c>
      <c r="I51" s="369"/>
      <c r="J51" s="369"/>
      <c r="K51" s="369"/>
      <c r="L51" s="319"/>
      <c r="M51" s="313"/>
      <c r="N51" s="319"/>
      <c r="O51" s="319"/>
      <c r="P51" s="319"/>
      <c r="Q51" s="319"/>
    </row>
    <row r="52" spans="1:17" s="259" customFormat="1" ht="12.75" customHeight="1">
      <c r="A52" s="319"/>
      <c r="B52" s="255"/>
      <c r="C52" s="253"/>
      <c r="D52" s="253"/>
      <c r="E52" s="400"/>
      <c r="F52" s="254"/>
      <c r="G52" s="254"/>
      <c r="H52" s="254"/>
      <c r="I52" s="369"/>
      <c r="J52" s="369"/>
      <c r="K52" s="369"/>
      <c r="L52" s="319"/>
      <c r="M52" s="313"/>
      <c r="N52" s="319"/>
      <c r="O52" s="319"/>
      <c r="P52" s="319"/>
      <c r="Q52" s="319"/>
    </row>
    <row r="53" spans="1:17">
      <c r="A53" s="319"/>
      <c r="B53" s="319"/>
      <c r="C53" s="32"/>
      <c r="D53" s="32"/>
      <c r="E53" s="32"/>
      <c r="F53" s="32"/>
      <c r="G53" s="32"/>
      <c r="H53" s="32"/>
      <c r="I53" s="32"/>
      <c r="J53" s="32"/>
      <c r="K53" s="32"/>
      <c r="L53" s="32"/>
      <c r="M53" s="32"/>
      <c r="N53" s="32"/>
      <c r="O53" s="32"/>
      <c r="P53" s="82"/>
      <c r="Q53" s="313"/>
    </row>
    <row r="54" spans="1:17" ht="25.5" customHeight="1">
      <c r="A54" s="319"/>
      <c r="B54" s="319"/>
      <c r="C54" s="203" t="str">
        <f>IF('Język - Language'!$B$30="Polski",CONCATENATE("POZOSTAŁE EMISJE FLAT FEE",CHAR(10),"MIEJSCE EMISJI"),CONCATENATE("OTHER FLAT FEE EMISSION",CHAR(10),"PLACE OF EMISSION"))</f>
        <v>POZOSTAŁE EMISJE FLAT FEE
MIEJSCE EMISJI</v>
      </c>
      <c r="D54" s="500" t="str">
        <f>IF('Język - Language'!$B$30="Polski","SEKCJA","PLACE OF EMISSION")</f>
        <v>SEKCJA</v>
      </c>
      <c r="E54" s="500" t="str">
        <f>IF('Język - Language'!$B$30="Polski","MODEL EMISJI","MODEL OF EMISSION")</f>
        <v>MODEL EMISJI</v>
      </c>
      <c r="F54" s="688" t="str">
        <f>IF('Język - Language'!$B$30="Polski","FORMAT","FORMAT")</f>
        <v>FORMAT</v>
      </c>
      <c r="G54" s="688"/>
      <c r="H54" s="501" t="str">
        <f>IF('Język - Language'!$B$30="Polski","CENA","PRICE")</f>
        <v>CENA</v>
      </c>
      <c r="I54" s="319"/>
      <c r="J54" s="319"/>
      <c r="K54" s="319"/>
      <c r="L54" s="319"/>
      <c r="M54" s="319"/>
      <c r="N54" s="319"/>
      <c r="O54" s="319"/>
      <c r="P54" s="319"/>
      <c r="Q54" s="319"/>
    </row>
    <row r="55" spans="1:17" s="81" customFormat="1" ht="12.75" customHeight="1">
      <c r="A55" s="319"/>
      <c r="B55" s="810" t="s">
        <v>33</v>
      </c>
      <c r="C55" s="808" t="s">
        <v>56</v>
      </c>
      <c r="D55" s="824" t="str">
        <f>IF('Język - Language'!$B$30="Polski","ROS","ROS")</f>
        <v>ROS</v>
      </c>
      <c r="E55" s="568" t="str">
        <f>IF('Język - Language'!$B$30="Polski","Flat Fee / dzień","Flat Fee / 1 day")</f>
        <v>Flat Fee / dzień</v>
      </c>
      <c r="F55" s="820" t="str">
        <f>IF('Język - Language'!$B$30="Polski",CONCATENATE("Galeria ",CHAR(34),"Foto Moda",CHAR(34),": SG Box 225x280px (pod 1) / ROS 2. zajawka 340x99px ",CHAR(34),"Gorące tematy",CHAR(34)),CONCATENATE(CHAR(34),"Photo Fashion",CHAR(34)," Gallery: HP Box 225x280px (under no 1) / ROS 2nd teaser 340x99px ",CHAR(34),"Hot news",CHAR(34)))</f>
        <v>Galeria "Foto Moda": SG Box 225x280px (pod 1) / ROS 2. zajawka 340x99px "Gorące tematy"</v>
      </c>
      <c r="G55" s="821"/>
      <c r="H55" s="511">
        <v>17000</v>
      </c>
      <c r="I55" s="319"/>
      <c r="J55" s="82"/>
      <c r="K55" s="319"/>
      <c r="L55" s="319"/>
      <c r="M55" s="319"/>
      <c r="N55" s="319"/>
      <c r="O55" s="319"/>
      <c r="P55" s="319"/>
      <c r="Q55" s="319"/>
    </row>
    <row r="56" spans="1:17" s="81" customFormat="1" ht="12.75" customHeight="1">
      <c r="A56" s="319"/>
      <c r="B56" s="810"/>
      <c r="C56" s="808"/>
      <c r="D56" s="824"/>
      <c r="E56" s="567" t="str">
        <f>IF('Język - Language'!$B$30="Polski","Flat Fee / tydzień","Flat Fee / 1 week")</f>
        <v>Flat Fee / tydzień</v>
      </c>
      <c r="F56" s="788" t="str">
        <f>IF('Język - Language'!$B$30="Polski",CONCATENATE("Galeria ",CHAR(34),"Foto Moda",CHAR(34),": SG Box 225x280px (pod 1) / ROS 2. zajawka 340x99px ",CHAR(34),"Gorące tematy",CHAR(34)),CONCATENATE(CHAR(34),"Photo Fashion",CHAR(34)," Gallery: HP Box 225x280px (under no 1) / ROS 2nd teaser 340x99px ",CHAR(34),"Hot news",CHAR(34)))</f>
        <v>Galeria "Foto Moda": SG Box 225x280px (pod 1) / ROS 2. zajawka 340x99px "Gorące tematy"</v>
      </c>
      <c r="G56" s="789"/>
      <c r="H56" s="245">
        <v>100000</v>
      </c>
      <c r="I56" s="319"/>
      <c r="J56" s="82"/>
      <c r="K56" s="319"/>
      <c r="L56" s="319"/>
      <c r="M56" s="319"/>
      <c r="N56" s="319"/>
      <c r="O56" s="319"/>
      <c r="P56" s="319"/>
      <c r="Q56" s="319"/>
    </row>
    <row r="57" spans="1:17" s="81" customFormat="1" ht="12.75" customHeight="1">
      <c r="A57" s="319"/>
      <c r="B57" s="810"/>
      <c r="C57" s="808"/>
      <c r="D57" s="824"/>
      <c r="E57" s="213" t="str">
        <f>IF('Język - Language'!$B$30="Polski","Flat Fee / dzień","Flat Fee / 1 day")</f>
        <v>Flat Fee / dzień</v>
      </c>
      <c r="F57" s="814" t="str">
        <f>IF('Język - Language'!$B$30="Polski","Halfpage","Halfpage")</f>
        <v>Halfpage</v>
      </c>
      <c r="G57" s="815"/>
      <c r="H57" s="244">
        <v>70000</v>
      </c>
      <c r="I57" s="319"/>
      <c r="J57" s="82"/>
      <c r="K57" s="319"/>
      <c r="L57" s="319"/>
      <c r="M57" s="319"/>
      <c r="N57" s="319"/>
      <c r="O57" s="319"/>
      <c r="P57" s="319"/>
      <c r="Q57" s="319"/>
    </row>
    <row r="58" spans="1:17" s="81" customFormat="1" ht="12.75" customHeight="1">
      <c r="A58" s="319"/>
      <c r="B58" s="811"/>
      <c r="C58" s="809"/>
      <c r="D58" s="825"/>
      <c r="E58" s="402" t="str">
        <f>IF('Język - Language'!$B$30="Polski","Flat Fee / tydzień","Flat Fee / 1 week")</f>
        <v>Flat Fee / tydzień</v>
      </c>
      <c r="F58" s="818" t="str">
        <f>IF('Język - Language'!$B$30="Polski","Halfpage","Halfpage")</f>
        <v>Halfpage</v>
      </c>
      <c r="G58" s="819"/>
      <c r="H58" s="246">
        <v>210000</v>
      </c>
      <c r="I58" s="319"/>
      <c r="J58" s="82"/>
      <c r="K58" s="319"/>
      <c r="L58" s="319"/>
      <c r="M58" s="319"/>
      <c r="N58" s="319"/>
      <c r="O58" s="319"/>
      <c r="P58" s="319"/>
      <c r="Q58" s="319"/>
    </row>
    <row r="59" spans="1:17">
      <c r="C59" s="199" t="str">
        <f>IF('Język - Language'!$B$30="Polski","¹ cena uzależniona od statystyk w wybrane dni ","¹ price depends on daily statistics on a given day")</f>
        <v xml:space="preserve">¹ cena uzależniona od statystyk w wybrane dni </v>
      </c>
      <c r="D59" s="359"/>
      <c r="E59" s="359"/>
      <c r="F59" s="359"/>
      <c r="G59" s="359"/>
      <c r="H59" s="359"/>
      <c r="I59" s="319"/>
      <c r="J59" s="319"/>
      <c r="K59" s="319"/>
      <c r="L59" s="82"/>
      <c r="M59" s="319"/>
      <c r="N59" s="319"/>
      <c r="O59" s="319"/>
    </row>
    <row r="60" spans="1:17" ht="12.75" customHeight="1">
      <c r="C60" s="319"/>
      <c r="D60" s="319"/>
      <c r="E60" s="319"/>
      <c r="F60" s="319"/>
      <c r="G60" s="319"/>
      <c r="H60" s="319"/>
      <c r="I60" s="319"/>
      <c r="J60" s="319"/>
      <c r="K60" s="319"/>
      <c r="L60" s="319"/>
      <c r="M60" s="319"/>
      <c r="N60" s="319"/>
      <c r="O60" s="313"/>
    </row>
    <row r="62" spans="1:17">
      <c r="C62" s="111"/>
      <c r="D62" s="111"/>
      <c r="E62" s="111"/>
      <c r="F62" s="111"/>
      <c r="G62" s="111"/>
      <c r="H62" s="313"/>
      <c r="I62" s="319"/>
      <c r="J62" s="319"/>
      <c r="K62" s="319"/>
      <c r="L62" s="319"/>
      <c r="M62" s="319"/>
      <c r="N62" s="319"/>
      <c r="O62" s="319"/>
    </row>
    <row r="64" spans="1:17" ht="12.75" customHeight="1">
      <c r="A64" s="67"/>
      <c r="C64" s="112"/>
      <c r="D64" s="823"/>
      <c r="E64" s="826"/>
      <c r="F64" s="403"/>
      <c r="G64" s="111"/>
      <c r="H64" s="313"/>
      <c r="I64" s="319"/>
      <c r="J64" s="319"/>
      <c r="K64" s="319"/>
      <c r="L64" s="319"/>
      <c r="M64" s="319"/>
      <c r="N64" s="319"/>
      <c r="O64" s="319"/>
    </row>
    <row r="65" spans="1:15" ht="12.75" customHeight="1">
      <c r="A65" s="67"/>
      <c r="C65" s="112"/>
      <c r="D65" s="823"/>
      <c r="E65" s="826"/>
      <c r="F65" s="403"/>
      <c r="G65" s="111"/>
      <c r="H65" s="313"/>
      <c r="I65" s="319"/>
      <c r="J65" s="319"/>
      <c r="K65" s="319"/>
      <c r="L65" s="319"/>
      <c r="M65" s="319"/>
      <c r="N65" s="319"/>
      <c r="O65" s="319"/>
    </row>
    <row r="66" spans="1:15" ht="12.75" customHeight="1">
      <c r="A66" s="67"/>
      <c r="C66" s="112"/>
      <c r="D66" s="823"/>
      <c r="E66" s="826"/>
      <c r="F66" s="403"/>
      <c r="G66" s="111"/>
      <c r="H66" s="313"/>
      <c r="I66" s="319"/>
      <c r="J66" s="319"/>
      <c r="K66" s="319"/>
      <c r="L66" s="319"/>
      <c r="M66" s="319"/>
      <c r="N66" s="319"/>
      <c r="O66" s="319"/>
    </row>
    <row r="67" spans="1:15" ht="12.75" customHeight="1">
      <c r="A67" s="67"/>
      <c r="C67" s="112"/>
      <c r="D67" s="823"/>
      <c r="E67" s="826"/>
      <c r="F67" s="403"/>
      <c r="G67" s="111"/>
      <c r="H67" s="313"/>
      <c r="I67" s="365"/>
      <c r="J67" s="319"/>
      <c r="K67" s="319"/>
      <c r="L67" s="319"/>
      <c r="M67" s="319"/>
      <c r="N67" s="319"/>
      <c r="O67" s="319"/>
    </row>
    <row r="68" spans="1:15">
      <c r="A68" s="67"/>
      <c r="C68" s="112"/>
      <c r="D68" s="823"/>
      <c r="E68" s="403"/>
      <c r="F68" s="403"/>
      <c r="G68" s="111"/>
      <c r="H68" s="313"/>
      <c r="I68" s="365"/>
      <c r="J68" s="319"/>
      <c r="K68" s="319"/>
      <c r="L68" s="319"/>
      <c r="M68" s="319"/>
      <c r="N68" s="319"/>
      <c r="O68" s="319"/>
    </row>
    <row r="69" spans="1:15">
      <c r="A69" s="67"/>
      <c r="C69" s="319"/>
      <c r="D69" s="319"/>
      <c r="E69" s="319"/>
      <c r="F69" s="319"/>
      <c r="G69" s="319"/>
      <c r="H69" s="319"/>
      <c r="I69" s="365"/>
      <c r="J69" s="319"/>
      <c r="K69" s="319"/>
      <c r="L69" s="319"/>
      <c r="M69" s="319"/>
      <c r="N69" s="319"/>
      <c r="O69" s="319"/>
    </row>
    <row r="70" spans="1:15">
      <c r="A70" s="67"/>
      <c r="C70" s="319"/>
      <c r="D70" s="319"/>
      <c r="E70" s="319"/>
      <c r="F70" s="319"/>
      <c r="G70" s="319"/>
      <c r="H70" s="319"/>
      <c r="I70" s="365"/>
      <c r="J70" s="319"/>
      <c r="K70" s="319"/>
      <c r="L70" s="319"/>
      <c r="M70" s="319"/>
      <c r="N70" s="319"/>
      <c r="O70" s="319"/>
    </row>
  </sheetData>
  <mergeCells count="78">
    <mergeCell ref="B8:B25"/>
    <mergeCell ref="B30:B41"/>
    <mergeCell ref="E36:F36"/>
    <mergeCell ref="G39:H39"/>
    <mergeCell ref="G17:H17"/>
    <mergeCell ref="C33:D33"/>
    <mergeCell ref="C34:D34"/>
    <mergeCell ref="G40:H40"/>
    <mergeCell ref="G34:H34"/>
    <mergeCell ref="G38:H38"/>
    <mergeCell ref="E38:F38"/>
    <mergeCell ref="C29:D29"/>
    <mergeCell ref="C30:D30"/>
    <mergeCell ref="G14:H14"/>
    <mergeCell ref="D16:D25"/>
    <mergeCell ref="C8:C13"/>
    <mergeCell ref="D64:D68"/>
    <mergeCell ref="D55:D58"/>
    <mergeCell ref="E64:E67"/>
    <mergeCell ref="G7:H7"/>
    <mergeCell ref="E39:F39"/>
    <mergeCell ref="G23:H23"/>
    <mergeCell ref="G35:H35"/>
    <mergeCell ref="E35:F35"/>
    <mergeCell ref="G30:H30"/>
    <mergeCell ref="G19:H19"/>
    <mergeCell ref="E34:F34"/>
    <mergeCell ref="E30:F30"/>
    <mergeCell ref="E29:F29"/>
    <mergeCell ref="E17:F23"/>
    <mergeCell ref="G29:H29"/>
    <mergeCell ref="C31:D31"/>
    <mergeCell ref="C55:C58"/>
    <mergeCell ref="E37:F37"/>
    <mergeCell ref="B55:B58"/>
    <mergeCell ref="C41:D41"/>
    <mergeCell ref="F57:G57"/>
    <mergeCell ref="G41:H41"/>
    <mergeCell ref="B45:B51"/>
    <mergeCell ref="F58:G58"/>
    <mergeCell ref="F55:G55"/>
    <mergeCell ref="G37:H37"/>
    <mergeCell ref="E40:F40"/>
    <mergeCell ref="F54:G54"/>
    <mergeCell ref="C44:D44"/>
    <mergeCell ref="E41:F41"/>
    <mergeCell ref="C39:D39"/>
    <mergeCell ref="C40:D40"/>
    <mergeCell ref="E32:F32"/>
    <mergeCell ref="G33:H33"/>
    <mergeCell ref="E33:F33"/>
    <mergeCell ref="C38:D38"/>
    <mergeCell ref="C32:D32"/>
    <mergeCell ref="C35:D35"/>
    <mergeCell ref="C36:D36"/>
    <mergeCell ref="C37:D37"/>
    <mergeCell ref="E1:H3"/>
    <mergeCell ref="E45:E51"/>
    <mergeCell ref="G32:H32"/>
    <mergeCell ref="F56:G56"/>
    <mergeCell ref="E7:F7"/>
    <mergeCell ref="G20:H20"/>
    <mergeCell ref="G18:H18"/>
    <mergeCell ref="G16:H16"/>
    <mergeCell ref="G15:H15"/>
    <mergeCell ref="G24:H24"/>
    <mergeCell ref="E14:F15"/>
    <mergeCell ref="E24:F25"/>
    <mergeCell ref="G22:H22"/>
    <mergeCell ref="E8:F13"/>
    <mergeCell ref="G13:H13"/>
    <mergeCell ref="G36:H36"/>
    <mergeCell ref="C14:C15"/>
    <mergeCell ref="E31:F31"/>
    <mergeCell ref="E16:F16"/>
    <mergeCell ref="G25:H25"/>
    <mergeCell ref="G31:H31"/>
    <mergeCell ref="G21:H21"/>
  </mergeCells>
  <pageMargins left="0.7" right="0.7" top="0.75" bottom="0.75" header="0.3" footer="0.3"/>
  <pageSetup paperSize="256" scale="55" fitToHeight="0" orientation="landscape" r:id="rId1"/>
  <ignoredErrors>
    <ignoredError sqref="D14:D15 D9 E58 E56"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8">
    <pageSetUpPr fitToPage="1"/>
  </sheetPr>
  <dimension ref="A1:AF179"/>
  <sheetViews>
    <sheetView zoomScaleNormal="100" workbookViewId="0">
      <pane ySplit="4" topLeftCell="A5" activePane="bottomLeft" state="frozen"/>
      <selection pane="bottomLeft"/>
    </sheetView>
  </sheetViews>
  <sheetFormatPr defaultColWidth="11.42578125" defaultRowHeight="12.75" outlineLevelRow="1"/>
  <cols>
    <col min="1" max="1" width="2.85546875" style="263" customWidth="1"/>
    <col min="2" max="2" width="2.85546875" style="2" customWidth="1"/>
    <col min="3" max="3" width="22.85546875" style="2" customWidth="1"/>
    <col min="4" max="5" width="20" style="100" customWidth="1"/>
    <col min="6" max="6" width="10.28515625" style="2" customWidth="1"/>
    <col min="7" max="7" width="10.28515625" style="100" customWidth="1"/>
    <col min="8" max="8" width="10.28515625" style="2" customWidth="1"/>
    <col min="9" max="9" width="10.28515625" style="100" customWidth="1"/>
    <col min="10" max="10" width="10.28515625" style="2" customWidth="1"/>
    <col min="11" max="11" width="10.28515625" style="100" customWidth="1"/>
    <col min="12" max="12" width="10.28515625" style="2" customWidth="1"/>
    <col min="13" max="13" width="10.28515625" style="100" customWidth="1"/>
    <col min="14" max="15" width="10.28515625" style="2" customWidth="1"/>
    <col min="16" max="22" width="10.85546875" style="2" customWidth="1"/>
    <col min="23" max="23" width="10" style="2" customWidth="1"/>
    <col min="24" max="24" width="9.140625" style="2" customWidth="1"/>
    <col min="25" max="26" width="9" style="2" customWidth="1"/>
    <col min="27" max="27" width="9.140625" style="2" customWidth="1"/>
    <col min="28" max="28" width="8.5703125" style="2" customWidth="1"/>
    <col min="29" max="29" width="10.5703125" style="2" customWidth="1"/>
    <col min="30" max="32" width="7.85546875" style="2" customWidth="1"/>
    <col min="33" max="16384" width="11.42578125" style="2"/>
  </cols>
  <sheetData>
    <row r="1" spans="1:32" ht="12.75" customHeight="1">
      <c r="A1" s="319"/>
      <c r="B1" s="319"/>
      <c r="C1" s="319"/>
      <c r="D1" s="319"/>
      <c r="E1" s="319"/>
      <c r="F1" s="18"/>
      <c r="H1" s="321"/>
      <c r="I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October 10, 2018",CHAR(10),"For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J1" s="589"/>
      <c r="K1" s="589"/>
      <c r="L1" s="589"/>
      <c r="M1" s="589"/>
      <c r="N1" s="589"/>
      <c r="O1" s="589"/>
      <c r="P1" s="321"/>
      <c r="Q1" s="321"/>
      <c r="R1" s="319"/>
      <c r="S1" s="321"/>
      <c r="T1" s="321"/>
      <c r="U1" s="321"/>
      <c r="V1" s="321"/>
      <c r="W1" s="321"/>
      <c r="X1" s="321"/>
      <c r="Y1" s="321"/>
      <c r="Z1" s="321"/>
      <c r="AA1" s="321"/>
      <c r="AB1" s="321"/>
      <c r="AC1" s="321"/>
      <c r="AD1" s="319"/>
      <c r="AE1" s="319"/>
      <c r="AF1" s="319"/>
    </row>
    <row r="2" spans="1:32" ht="12.75" customHeight="1">
      <c r="A2" s="319"/>
      <c r="B2" s="319"/>
      <c r="C2" s="319"/>
      <c r="D2" s="319"/>
      <c r="E2" s="319"/>
      <c r="F2" s="18"/>
      <c r="G2" s="321"/>
      <c r="H2" s="321"/>
      <c r="I2" s="589"/>
      <c r="J2" s="589"/>
      <c r="K2" s="589"/>
      <c r="L2" s="589"/>
      <c r="M2" s="589"/>
      <c r="N2" s="589"/>
      <c r="O2" s="589"/>
      <c r="P2" s="321"/>
      <c r="Q2" s="321"/>
      <c r="R2" s="321"/>
      <c r="S2" s="321"/>
      <c r="T2" s="321"/>
      <c r="U2" s="321"/>
      <c r="V2" s="321"/>
      <c r="W2" s="321"/>
      <c r="X2" s="321"/>
      <c r="Y2" s="321"/>
      <c r="Z2" s="321"/>
      <c r="AA2" s="321"/>
      <c r="AB2" s="321"/>
      <c r="AC2" s="321"/>
      <c r="AD2" s="319"/>
      <c r="AE2" s="319"/>
      <c r="AF2" s="319"/>
    </row>
    <row r="3" spans="1:32" ht="12.75" customHeight="1">
      <c r="A3" s="319"/>
      <c r="B3" s="319"/>
      <c r="C3" s="319"/>
      <c r="D3" s="319"/>
      <c r="E3" s="319"/>
      <c r="F3" s="18"/>
      <c r="G3" s="321"/>
      <c r="H3" s="321"/>
      <c r="I3" s="589"/>
      <c r="J3" s="589"/>
      <c r="K3" s="589"/>
      <c r="L3" s="589"/>
      <c r="M3" s="589"/>
      <c r="N3" s="589"/>
      <c r="O3" s="589"/>
      <c r="P3" s="321"/>
      <c r="Q3" s="321"/>
      <c r="R3" s="321"/>
      <c r="S3" s="321"/>
      <c r="T3" s="321"/>
      <c r="U3" s="321"/>
      <c r="V3" s="321"/>
      <c r="W3" s="321"/>
      <c r="X3" s="321"/>
      <c r="Y3" s="321"/>
      <c r="Z3" s="321"/>
      <c r="AA3" s="321"/>
      <c r="AB3" s="321"/>
      <c r="AC3" s="321"/>
      <c r="AD3" s="319"/>
      <c r="AE3" s="319"/>
      <c r="AF3" s="319"/>
    </row>
    <row r="4" spans="1:32" s="34" customFormat="1" ht="12.75" customHeight="1">
      <c r="A4" s="322"/>
      <c r="B4" s="322"/>
      <c r="C4" s="35" t="str">
        <f>IF('Język - Language'!$B$30="Polski","            Pakiety tematyczne, zasięgowe oraz reklama na serwisie","             Packages")</f>
        <v xml:space="preserve">            Pakiety tematyczne, zasięgowe oraz reklama na serwisie</v>
      </c>
      <c r="D4" s="35"/>
      <c r="E4" s="322"/>
      <c r="F4" s="322"/>
      <c r="G4" s="322"/>
      <c r="H4" s="322"/>
      <c r="I4" s="322"/>
      <c r="J4" s="322"/>
      <c r="K4" s="322"/>
      <c r="L4" s="322"/>
      <c r="M4" s="322"/>
      <c r="N4" s="322"/>
      <c r="O4" s="312" t="str">
        <f>IF('Język - Language'!$B$30="Polski","PL","EN")</f>
        <v>PL</v>
      </c>
      <c r="P4" s="322"/>
      <c r="Q4" s="322"/>
      <c r="R4" s="322"/>
      <c r="S4" s="322"/>
      <c r="T4" s="322"/>
      <c r="U4" s="322"/>
      <c r="V4" s="322"/>
      <c r="W4" s="322"/>
      <c r="X4" s="322"/>
      <c r="Y4" s="322"/>
      <c r="Z4" s="322"/>
      <c r="AA4" s="322"/>
      <c r="AB4" s="322"/>
      <c r="AC4" s="322"/>
      <c r="AD4" s="322"/>
      <c r="AE4" s="322"/>
      <c r="AF4" s="322"/>
    </row>
    <row r="5" spans="1:32" ht="12.75"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row>
    <row r="6" spans="1:32" ht="12.75" customHeight="1" thickBot="1">
      <c r="A6" s="319"/>
      <c r="B6"/>
      <c r="C6" s="302"/>
      <c r="D6" s="302"/>
      <c r="E6" s="302"/>
      <c r="F6" s="302"/>
      <c r="G6" s="302"/>
      <c r="H6" s="302"/>
      <c r="I6" s="302"/>
      <c r="J6" s="313"/>
      <c r="K6" s="313"/>
      <c r="L6" s="313"/>
      <c r="M6" s="313"/>
      <c r="N6" s="313"/>
      <c r="O6" s="313"/>
      <c r="P6" s="313"/>
      <c r="Q6" s="313"/>
      <c r="R6" s="313"/>
      <c r="S6" s="313"/>
      <c r="T6" s="313"/>
      <c r="U6" s="313"/>
      <c r="V6" s="313"/>
      <c r="W6" s="313"/>
      <c r="X6" s="313"/>
      <c r="Y6" s="313"/>
      <c r="Z6" s="313"/>
      <c r="AA6" s="313"/>
      <c r="AB6" s="313"/>
      <c r="AC6" s="313"/>
      <c r="AD6" s="313"/>
      <c r="AE6" s="313"/>
      <c r="AF6" s="313"/>
    </row>
    <row r="7" spans="1:32" s="263" customFormat="1" ht="12.75" customHeight="1" thickTop="1">
      <c r="A7" s="319"/>
      <c r="B7" s="301"/>
      <c r="C7" s="856" t="str">
        <f>IF('Język - Language'!$B$30="Polski","KATEGORIE","CATEGORIES")</f>
        <v>KATEGORIE</v>
      </c>
      <c r="D7" s="626" t="str">
        <f>IF('Język - Language'!$B$30="Polski","MIEJSCE EMISJI","PLACE OF EMISSION")</f>
        <v>MIEJSCE EMISJI</v>
      </c>
      <c r="E7" s="936" t="str">
        <f>IF('Język - Language'!$B$30="Polski","WIDZIALNE ODSŁONY","VIEWABLE IMPRESSIONS")</f>
        <v>WIDZIALNE ODSŁONY</v>
      </c>
      <c r="F7" s="829"/>
      <c r="G7" s="829"/>
      <c r="H7" s="305"/>
      <c r="I7" s="306"/>
      <c r="J7" s="313"/>
      <c r="K7" s="313"/>
      <c r="L7" s="313"/>
      <c r="M7" s="319"/>
      <c r="N7" s="319"/>
      <c r="O7" s="319"/>
      <c r="P7" s="319"/>
      <c r="Q7" s="319"/>
      <c r="R7" s="319"/>
      <c r="S7" s="319"/>
      <c r="T7" s="319"/>
      <c r="U7" s="319"/>
      <c r="V7" s="319"/>
      <c r="W7" s="319"/>
      <c r="X7" s="319"/>
      <c r="Y7" s="319"/>
      <c r="Z7" s="319"/>
      <c r="AA7" s="319"/>
      <c r="AB7" s="319"/>
    </row>
    <row r="8" spans="1:32" s="263" customFormat="1" ht="12.75" customHeight="1">
      <c r="A8" s="313"/>
      <c r="B8" s="301"/>
      <c r="C8" s="856"/>
      <c r="D8" s="626"/>
      <c r="E8" s="937"/>
      <c r="F8" s="922" t="str">
        <f>IF('Język - Language'!$B$30="Polski","HALFPAGE","HALFPAGE")</f>
        <v>HALFPAGE</v>
      </c>
      <c r="G8" s="829"/>
      <c r="H8" s="829" t="str">
        <f>IF('Język - Language'!$B$30="Polski","CONTENT BOX 970x200","CONTENT BOX 970x200")</f>
        <v>CONTENT BOX 970x200</v>
      </c>
      <c r="I8" s="949"/>
      <c r="J8" s="313"/>
      <c r="K8" s="313"/>
      <c r="L8" s="313"/>
      <c r="M8" s="319"/>
      <c r="N8" s="319"/>
      <c r="O8" s="319"/>
      <c r="P8" s="319"/>
      <c r="Q8" s="319"/>
      <c r="R8" s="319"/>
      <c r="S8" s="319"/>
      <c r="T8" s="319"/>
      <c r="U8" s="319"/>
      <c r="V8" s="319"/>
      <c r="W8" s="319"/>
      <c r="X8" s="319"/>
      <c r="Y8" s="319"/>
      <c r="Z8" s="319"/>
      <c r="AA8" s="319"/>
      <c r="AB8" s="319"/>
    </row>
    <row r="9" spans="1:32" s="263" customFormat="1" ht="25.5" customHeight="1">
      <c r="A9" s="319"/>
      <c r="B9" s="301"/>
      <c r="C9" s="856"/>
      <c r="D9" s="626"/>
      <c r="E9" s="937"/>
      <c r="F9" s="922" t="str">
        <f>IF('Język - Language'!$B$30="Polski","rozliczenie za widzialne odsłony wg standardu IAB¹","settlement for visible ad views according to the IAB standard¹")</f>
        <v>rozliczenie za widzialne odsłony wg standardu IAB¹</v>
      </c>
      <c r="G9" s="829"/>
      <c r="H9" s="829"/>
      <c r="I9" s="949"/>
      <c r="J9" s="313"/>
      <c r="K9" s="313"/>
      <c r="L9" s="319"/>
      <c r="M9" s="319"/>
      <c r="N9" s="319"/>
      <c r="O9" s="319"/>
      <c r="P9" s="319"/>
      <c r="Q9" s="319"/>
      <c r="R9" s="319"/>
      <c r="S9" s="319"/>
      <c r="T9" s="319"/>
      <c r="U9" s="319"/>
      <c r="V9" s="319"/>
      <c r="W9" s="319"/>
      <c r="X9" s="319"/>
      <c r="Y9" s="319"/>
      <c r="Z9" s="319"/>
      <c r="AA9" s="319"/>
      <c r="AB9" s="319"/>
    </row>
    <row r="10" spans="1:32" s="263" customFormat="1" ht="12.75" customHeight="1">
      <c r="A10" s="319"/>
      <c r="B10" s="301"/>
      <c r="C10" s="857"/>
      <c r="D10" s="926"/>
      <c r="E10" s="938"/>
      <c r="F10" s="829" t="str">
        <f>IF('Język - Language'!$B$30="Polski","CENA RC","RC PRICE")</f>
        <v>CENA RC</v>
      </c>
      <c r="G10" s="829"/>
      <c r="H10" s="829" t="str">
        <f>IF('Język - Language'!$B$30="Polski","CENA RC","RC PRICE")</f>
        <v>CENA RC</v>
      </c>
      <c r="I10" s="829"/>
      <c r="J10" s="482"/>
      <c r="K10" s="313"/>
      <c r="L10" s="313"/>
      <c r="M10" s="319"/>
      <c r="N10" s="319"/>
      <c r="O10" s="319"/>
      <c r="P10" s="319"/>
      <c r="Q10" s="319"/>
      <c r="R10" s="319"/>
      <c r="S10" s="319"/>
      <c r="T10" s="319"/>
      <c r="U10" s="319"/>
      <c r="V10" s="319"/>
      <c r="W10" s="319"/>
      <c r="X10" s="319"/>
      <c r="Y10" s="319"/>
      <c r="Z10" s="319"/>
      <c r="AA10" s="319"/>
      <c r="AB10" s="319"/>
    </row>
    <row r="11" spans="1:32" s="263" customFormat="1" ht="12.75" customHeight="1">
      <c r="A11" s="319"/>
      <c r="B11" s="932" t="str">
        <f>IF('Język - Language'!$B$30="Polski","DNIÓWKA ODSŁONOWA","DAILY EMISSION")</f>
        <v>DNIÓWKA ODSŁONOWA</v>
      </c>
      <c r="C11" s="930" t="s">
        <v>30</v>
      </c>
      <c r="D11" s="477" t="str">
        <f>IF('Język - Language'!$B$30="Polski",CONCATENATE("Moduł ",CHAR(34),"Wiadomości",CHAR(34)),"Category 'News'")</f>
        <v>Moduł "Wiadomości"</v>
      </c>
      <c r="E11" s="303">
        <v>2000000</v>
      </c>
      <c r="F11" s="933">
        <v>184000</v>
      </c>
      <c r="G11" s="934"/>
      <c r="H11" s="933" t="s">
        <v>59</v>
      </c>
      <c r="I11" s="933"/>
      <c r="J11" s="482"/>
      <c r="K11" s="313"/>
      <c r="L11" s="313"/>
      <c r="M11" s="319"/>
      <c r="N11" s="319"/>
      <c r="O11" s="319"/>
      <c r="P11" s="319"/>
      <c r="Q11" s="319"/>
      <c r="R11" s="319"/>
      <c r="S11" s="319"/>
      <c r="T11" s="319"/>
      <c r="U11" s="319"/>
      <c r="V11" s="319"/>
      <c r="W11" s="319"/>
      <c r="X11" s="319"/>
      <c r="Y11" s="319"/>
      <c r="Z11" s="319"/>
      <c r="AA11" s="319"/>
      <c r="AB11" s="319"/>
    </row>
    <row r="12" spans="1:32" s="263" customFormat="1" ht="12.75" customHeight="1">
      <c r="A12" s="319"/>
      <c r="B12" s="932"/>
      <c r="C12" s="626"/>
      <c r="D12" s="477" t="str">
        <f>IF('Język - Language'!$B$30="Polski",CONCATENATE("Moduł ",CHAR(34),"Sport",CHAR(34)),"Category 'Sport'")</f>
        <v>Moduł "Sport"</v>
      </c>
      <c r="E12" s="303">
        <v>1400000</v>
      </c>
      <c r="F12" s="933">
        <v>129000</v>
      </c>
      <c r="G12" s="934"/>
      <c r="H12" s="933"/>
      <c r="I12" s="939"/>
      <c r="J12" s="313"/>
      <c r="K12" s="313"/>
      <c r="L12" s="313"/>
      <c r="M12" s="319"/>
      <c r="N12" s="319"/>
      <c r="O12" s="319"/>
      <c r="P12" s="319"/>
      <c r="Q12" s="319"/>
      <c r="R12" s="319"/>
      <c r="S12" s="319"/>
      <c r="T12" s="319"/>
      <c r="U12" s="319"/>
      <c r="V12" s="319"/>
      <c r="W12" s="319"/>
      <c r="X12" s="319"/>
      <c r="Y12" s="319"/>
      <c r="Z12" s="319"/>
      <c r="AA12" s="319"/>
      <c r="AB12" s="319"/>
    </row>
    <row r="13" spans="1:32" s="263" customFormat="1" ht="12.75" customHeight="1">
      <c r="A13" s="319"/>
      <c r="B13" s="932"/>
      <c r="C13" s="626"/>
      <c r="D13" s="477" t="str">
        <f>IF('Język - Language'!$B$30="Polski",CONCATENATE("Moduł ",CHAR(34),"Finanse",CHAR(34)),"Category 'Business'")</f>
        <v>Moduł "Finanse"</v>
      </c>
      <c r="E13" s="303">
        <v>1200000</v>
      </c>
      <c r="F13" s="933">
        <v>110000</v>
      </c>
      <c r="G13" s="934"/>
      <c r="H13" s="933"/>
      <c r="I13" s="939"/>
      <c r="J13" s="313"/>
      <c r="K13" s="313"/>
      <c r="L13" s="313"/>
      <c r="M13" s="319"/>
      <c r="N13" s="319"/>
      <c r="O13" s="319"/>
      <c r="P13" s="319"/>
      <c r="Q13" s="319"/>
      <c r="R13" s="319"/>
      <c r="S13" s="319"/>
      <c r="T13" s="319"/>
      <c r="U13" s="319"/>
      <c r="V13" s="319"/>
      <c r="W13" s="319"/>
      <c r="X13" s="319"/>
      <c r="Y13" s="319"/>
      <c r="Z13" s="319"/>
      <c r="AA13" s="319"/>
      <c r="AB13" s="319"/>
    </row>
    <row r="14" spans="1:32" s="263" customFormat="1" ht="12.75" customHeight="1">
      <c r="A14" s="319"/>
      <c r="B14" s="932"/>
      <c r="C14" s="626"/>
      <c r="D14" s="477" t="str">
        <f>IF('Język - Language'!$B$30="Polski",CONCATENATE("Moduł ",CHAR(34),"Gwiazdy",CHAR(34)),"Category 'Stars'")</f>
        <v>Moduł "Gwiazdy"</v>
      </c>
      <c r="E14" s="303">
        <v>1000000</v>
      </c>
      <c r="F14" s="933">
        <v>92000</v>
      </c>
      <c r="G14" s="934"/>
      <c r="H14" s="933"/>
      <c r="I14" s="939"/>
      <c r="J14" s="313"/>
      <c r="K14" s="313"/>
      <c r="L14" s="313"/>
      <c r="M14" s="319"/>
      <c r="N14" s="319"/>
      <c r="O14" s="319"/>
      <c r="P14" s="319"/>
      <c r="Q14" s="319"/>
      <c r="R14" s="319"/>
      <c r="S14" s="319"/>
      <c r="T14" s="319"/>
      <c r="U14" s="319"/>
      <c r="V14" s="319"/>
      <c r="W14" s="319"/>
      <c r="X14" s="319"/>
      <c r="Y14" s="319"/>
      <c r="Z14" s="319"/>
      <c r="AA14" s="319"/>
      <c r="AB14" s="319"/>
    </row>
    <row r="15" spans="1:32" s="263" customFormat="1" ht="12.75" customHeight="1">
      <c r="A15" s="319"/>
      <c r="B15" s="932"/>
      <c r="C15" s="626"/>
      <c r="D15" s="477" t="str">
        <f>IF('Język - Language'!$B$30="Polski",CONCATENATE("Moduł ",CHAR(34),"Moto",CHAR(34)),"Category 'Automotive'")</f>
        <v>Moduł "Moto"</v>
      </c>
      <c r="E15" s="303">
        <v>900000</v>
      </c>
      <c r="F15" s="933">
        <v>83000</v>
      </c>
      <c r="G15" s="934"/>
      <c r="H15" s="933"/>
      <c r="I15" s="939"/>
      <c r="J15" s="313"/>
      <c r="K15" s="313"/>
      <c r="L15" s="313"/>
      <c r="M15" s="319"/>
      <c r="N15" s="319"/>
      <c r="O15" s="319"/>
      <c r="P15" s="319"/>
      <c r="Q15" s="319"/>
      <c r="R15" s="319"/>
      <c r="S15" s="319"/>
      <c r="T15" s="319"/>
      <c r="U15" s="319"/>
      <c r="V15" s="319"/>
      <c r="W15" s="319"/>
      <c r="X15" s="319"/>
      <c r="Y15" s="319"/>
      <c r="Z15" s="319"/>
      <c r="AA15" s="319"/>
      <c r="AB15" s="319"/>
    </row>
    <row r="16" spans="1:32" s="263" customFormat="1" ht="12.75" customHeight="1">
      <c r="A16" s="319"/>
      <c r="B16" s="932"/>
      <c r="C16" s="626"/>
      <c r="D16" s="477" t="str">
        <f>IF('Język - Language'!$B$30="Polski",CONCATENATE("Moduł ",CHAR(34),"Styl Życia",CHAR(34)),"Category 'Lifestyle'")</f>
        <v>Moduł "Styl Życia"</v>
      </c>
      <c r="E16" s="303">
        <v>700000</v>
      </c>
      <c r="F16" s="933">
        <v>64000</v>
      </c>
      <c r="G16" s="934"/>
      <c r="H16" s="933"/>
      <c r="I16" s="939"/>
      <c r="J16" s="313"/>
      <c r="K16" s="313"/>
      <c r="L16" s="313"/>
      <c r="M16" s="319"/>
      <c r="N16" s="319"/>
      <c r="O16" s="319"/>
      <c r="P16" s="319"/>
      <c r="Q16" s="319"/>
      <c r="R16" s="319"/>
      <c r="S16" s="319"/>
      <c r="T16" s="319"/>
      <c r="U16" s="319"/>
      <c r="V16" s="319"/>
      <c r="W16" s="319"/>
      <c r="X16" s="319"/>
      <c r="Y16" s="319"/>
      <c r="Z16" s="319"/>
      <c r="AA16" s="319"/>
      <c r="AB16" s="319"/>
    </row>
    <row r="17" spans="1:32" s="263" customFormat="1" ht="12.75" customHeight="1">
      <c r="A17" s="319"/>
      <c r="B17" s="932"/>
      <c r="C17" s="626"/>
      <c r="D17" s="477" t="str">
        <f>IF('Język - Language'!$B$30="Polski",CONCATENATE("Moduł ",CHAR(34),"Turystyka",CHAR(34)),"Category 'Touring'")</f>
        <v>Moduł "Turystyka"</v>
      </c>
      <c r="E17" s="303">
        <v>600000</v>
      </c>
      <c r="F17" s="933">
        <v>55000</v>
      </c>
      <c r="G17" s="934"/>
      <c r="H17" s="933"/>
      <c r="I17" s="939"/>
      <c r="J17" s="313"/>
      <c r="K17" s="313"/>
      <c r="L17" s="313"/>
      <c r="M17" s="319"/>
      <c r="N17" s="319"/>
      <c r="O17" s="319"/>
      <c r="P17" s="319"/>
      <c r="Q17" s="319"/>
      <c r="R17" s="319"/>
      <c r="S17" s="319"/>
      <c r="T17" s="319"/>
      <c r="U17" s="319"/>
      <c r="V17" s="319"/>
      <c r="W17" s="319"/>
      <c r="X17" s="319"/>
      <c r="Y17" s="319"/>
      <c r="Z17" s="319"/>
      <c r="AA17" s="319"/>
      <c r="AB17" s="319"/>
    </row>
    <row r="18" spans="1:32" s="263" customFormat="1" ht="12.75" customHeight="1">
      <c r="A18" s="319"/>
      <c r="B18" s="932"/>
      <c r="C18" s="626"/>
      <c r="D18" s="466" t="str">
        <f>IF('Język - Language'!$B$30="Polski",CONCATENATE("Moduł ",CHAR(34),"Zobacz więcej",CHAR(34)),"Category 'See more'")</f>
        <v>Moduł "Zobacz więcej"</v>
      </c>
      <c r="E18" s="307">
        <v>500000</v>
      </c>
      <c r="F18" s="940">
        <v>46000</v>
      </c>
      <c r="G18" s="783"/>
      <c r="H18" s="940"/>
      <c r="I18" s="941"/>
      <c r="J18" s="313"/>
      <c r="K18" s="313"/>
      <c r="L18" s="313"/>
      <c r="M18" s="319"/>
      <c r="N18" s="319"/>
      <c r="O18" s="319"/>
      <c r="P18" s="319"/>
      <c r="Q18" s="319"/>
      <c r="R18" s="319"/>
      <c r="S18" s="319"/>
      <c r="T18" s="319"/>
      <c r="U18" s="319"/>
      <c r="V18" s="319"/>
      <c r="W18" s="319"/>
      <c r="X18" s="319"/>
      <c r="Y18" s="319"/>
      <c r="Z18" s="319"/>
      <c r="AA18" s="319"/>
      <c r="AB18" s="319"/>
    </row>
    <row r="19" spans="1:32" s="263" customFormat="1" ht="12.75" customHeight="1" thickBot="1">
      <c r="A19" s="319"/>
      <c r="B19" s="932"/>
      <c r="C19" s="931"/>
      <c r="D19" s="478" t="str">
        <f>IF('Język - Language'!$B$30="Polski","Moduły rotacyjnie","Rotating in categories")</f>
        <v>Moduły rotacyjnie</v>
      </c>
      <c r="E19" s="304">
        <v>1000000</v>
      </c>
      <c r="F19" s="950">
        <v>75000</v>
      </c>
      <c r="G19" s="951"/>
      <c r="H19" s="950">
        <v>92000</v>
      </c>
      <c r="I19" s="953"/>
      <c r="J19" s="313"/>
      <c r="K19" s="313"/>
      <c r="L19" s="313"/>
      <c r="M19" s="319"/>
      <c r="N19" s="319"/>
      <c r="O19" s="319"/>
      <c r="P19" s="319"/>
      <c r="Q19" s="319"/>
      <c r="R19" s="319"/>
      <c r="S19" s="319"/>
      <c r="T19" s="319"/>
      <c r="U19" s="319"/>
      <c r="V19" s="319"/>
      <c r="W19" s="319"/>
      <c r="X19" s="319"/>
      <c r="Y19" s="319"/>
      <c r="Z19" s="319"/>
      <c r="AA19" s="319"/>
      <c r="AB19" s="319"/>
    </row>
    <row r="20" spans="1:32" s="263" customFormat="1" ht="12.75" customHeight="1" thickTop="1">
      <c r="A20" s="319"/>
      <c r="B20" s="451"/>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row>
    <row r="21" spans="1:32" s="319" customFormat="1" ht="12.75" customHeight="1">
      <c r="B21" s="449"/>
      <c r="C21" s="450"/>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row>
    <row r="22" spans="1:32" s="319" customFormat="1" ht="12.75" customHeight="1">
      <c r="B22"/>
      <c r="C22" s="217" t="str">
        <f>IF('Język - Language'!$B$30="Polski","STANDARDOWE FORMATY REKLAMOWE","STANDARD AD FORMATS")</f>
        <v>STANDARDOWE FORMATY REKLAMOWE</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row>
    <row r="23" spans="1:32" ht="12.75" customHeight="1">
      <c r="A23" s="319"/>
      <c r="B23" s="313"/>
      <c r="C23" s="929" t="str">
        <f>IF('Język - Language'!$B$30="Polski","KATEGORIE","CATEGORIES")</f>
        <v>KATEGORIE</v>
      </c>
      <c r="D23" s="946" t="str">
        <f>IF('Język - Language'!$B$30="Polski","MIEJSCE EMISJI","PLACE OF EMISSION")</f>
        <v>MIEJSCE EMISJI</v>
      </c>
      <c r="E23" s="947"/>
      <c r="F23" s="945" t="str">
        <f>IF('Język - Language'!$B$30="Polski","RECTANGLE,","RECTANGLE,")</f>
        <v>RECTANGLE,</v>
      </c>
      <c r="G23" s="896"/>
      <c r="H23" s="896" t="str">
        <f>IF('Język - Language'!$B$30="Polski","DOUBLE BILLBOARD,","DOUBLE BILLBOARD,")</f>
        <v>DOUBLE BILLBOARD,</v>
      </c>
      <c r="I23" s="896"/>
      <c r="J23" s="896" t="str">
        <f>IF('Język - Language'!$B$30="Polski","TRIPLE BILLBOARD,","TRIPLE BILLBOARD,")</f>
        <v>TRIPLE BILLBOARD,</v>
      </c>
      <c r="K23" s="942"/>
      <c r="L23" s="954" t="str">
        <f>IF('Język - Language'!$B$30="Polski","SCREENING 200³","SCREENING 200³")</f>
        <v>SCREENING 200³</v>
      </c>
      <c r="M23" s="942"/>
      <c r="N23" s="923" t="s">
        <v>62</v>
      </c>
      <c r="O23" s="880"/>
      <c r="P23" s="319"/>
      <c r="Q23" s="319"/>
      <c r="R23" s="98"/>
      <c r="S23" s="98"/>
      <c r="T23" s="313"/>
      <c r="U23" s="313"/>
      <c r="V23" s="313"/>
      <c r="W23" s="319"/>
      <c r="X23" s="319"/>
      <c r="Y23" s="319"/>
      <c r="Z23" s="319"/>
      <c r="AA23" s="319"/>
      <c r="AB23" s="319"/>
      <c r="AC23" s="319"/>
      <c r="AD23" s="319"/>
      <c r="AE23" s="319"/>
      <c r="AF23" s="319"/>
    </row>
    <row r="24" spans="1:32" s="151" customFormat="1" ht="12.75" customHeight="1">
      <c r="A24" s="319"/>
      <c r="B24" s="313"/>
      <c r="C24" s="856"/>
      <c r="D24" s="626"/>
      <c r="E24" s="948"/>
      <c r="F24" s="922"/>
      <c r="G24" s="829"/>
      <c r="H24" s="829" t="str">
        <f>IF('Język - Language'!$B$30="Polski","FLOATING HALFPAGE","FLOATING HALFPATE")</f>
        <v>FLOATING HALFPAGE</v>
      </c>
      <c r="I24" s="829"/>
      <c r="J24" s="829"/>
      <c r="K24" s="832"/>
      <c r="L24" s="955"/>
      <c r="M24" s="832"/>
      <c r="N24" s="923"/>
      <c r="O24" s="880"/>
      <c r="P24" s="319"/>
      <c r="Q24" s="319"/>
      <c r="R24" s="98"/>
      <c r="S24" s="98"/>
      <c r="T24" s="313"/>
      <c r="U24" s="313"/>
      <c r="V24" s="313"/>
      <c r="W24" s="319"/>
      <c r="X24" s="319"/>
      <c r="Y24" s="319"/>
      <c r="Z24" s="319"/>
      <c r="AA24" s="319"/>
      <c r="AB24" s="319"/>
      <c r="AC24" s="319"/>
      <c r="AD24" s="319"/>
      <c r="AE24" s="319"/>
      <c r="AF24" s="319"/>
    </row>
    <row r="25" spans="1:32" s="151" customFormat="1" ht="12.75" customHeight="1">
      <c r="A25" s="319"/>
      <c r="B25" s="313"/>
      <c r="C25" s="856"/>
      <c r="D25" s="626"/>
      <c r="E25" s="948"/>
      <c r="F25" s="943" t="str">
        <f>IF('Język - Language'!$B$30="Polski","MOBILE RECTANGLE","MOBILE RECTANGLE")</f>
        <v>MOBILE RECTANGLE</v>
      </c>
      <c r="G25" s="944"/>
      <c r="H25" s="829" t="str">
        <f>IF('Język - Language'!$B$30="Polski","HALFPAGE,","HALFPAGE,")</f>
        <v>HALFPAGE,</v>
      </c>
      <c r="I25" s="829"/>
      <c r="J25" s="829" t="str">
        <f>IF('Język - Language'!$B$30="Polski","WIDEBOARD","WIDEBOARD")</f>
        <v>WIDEBOARD</v>
      </c>
      <c r="K25" s="832"/>
      <c r="L25" s="927" t="str">
        <f>IF('Język - Language'!$B$30="Polski","MOBILE SCREENING³","MOBILE SCREENING³")</f>
        <v>MOBILE SCREENING³</v>
      </c>
      <c r="M25" s="928"/>
      <c r="N25" s="924" t="s">
        <v>63</v>
      </c>
      <c r="O25" s="925"/>
      <c r="P25" s="319"/>
      <c r="Q25" s="319"/>
      <c r="R25" s="98"/>
      <c r="S25" s="98"/>
      <c r="T25" s="313"/>
      <c r="U25" s="313"/>
      <c r="V25" s="313"/>
      <c r="W25" s="319"/>
      <c r="X25" s="319"/>
      <c r="Y25" s="319"/>
      <c r="Z25" s="319"/>
      <c r="AA25" s="319"/>
      <c r="AB25" s="319"/>
      <c r="AC25" s="319"/>
      <c r="AD25" s="319"/>
      <c r="AE25" s="319"/>
      <c r="AF25" s="319"/>
    </row>
    <row r="26" spans="1:32" s="151" customFormat="1" ht="12.75" customHeight="1">
      <c r="A26" s="319"/>
      <c r="B26" s="313"/>
      <c r="C26" s="856"/>
      <c r="D26" s="626"/>
      <c r="E26" s="948"/>
      <c r="F26" s="943"/>
      <c r="G26" s="944"/>
      <c r="H26" s="944" t="str">
        <f>IF('Język - Language'!$B$30="Polski","MOBILE BANNER GÓRNY","MOBILE UPPER BANNER")</f>
        <v>MOBILE BANNER GÓRNY</v>
      </c>
      <c r="I26" s="944"/>
      <c r="J26" s="829"/>
      <c r="K26" s="832"/>
      <c r="L26" s="927"/>
      <c r="M26" s="928"/>
      <c r="N26" s="924"/>
      <c r="O26" s="925"/>
      <c r="P26" s="319"/>
      <c r="Q26" s="319"/>
      <c r="R26" s="98"/>
      <c r="S26" s="98"/>
      <c r="T26" s="313"/>
      <c r="U26" s="313"/>
      <c r="V26" s="313"/>
      <c r="W26" s="319"/>
      <c r="X26" s="319"/>
      <c r="Y26" s="319"/>
      <c r="Z26" s="319"/>
      <c r="AA26" s="319"/>
      <c r="AB26" s="319"/>
      <c r="AC26" s="319"/>
      <c r="AD26" s="319"/>
      <c r="AE26" s="319"/>
      <c r="AF26" s="319"/>
    </row>
    <row r="27" spans="1:32" s="115" customFormat="1" ht="25.5" customHeight="1">
      <c r="A27" s="319"/>
      <c r="B27" s="313"/>
      <c r="C27" s="856"/>
      <c r="D27" s="626"/>
      <c r="E27" s="948"/>
      <c r="F27" s="922"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27" s="829"/>
      <c r="H27" s="829"/>
      <c r="I27" s="829"/>
      <c r="J27" s="829"/>
      <c r="K27" s="829"/>
      <c r="L27" s="829"/>
      <c r="M27" s="829"/>
      <c r="N27" s="829"/>
      <c r="O27" s="832"/>
      <c r="P27" s="319"/>
      <c r="Q27" s="319"/>
      <c r="R27" s="98"/>
      <c r="S27" s="98"/>
      <c r="T27" s="313"/>
      <c r="U27" s="313"/>
      <c r="V27" s="313"/>
      <c r="W27" s="319"/>
      <c r="X27" s="319"/>
      <c r="Y27" s="319"/>
      <c r="Z27" s="319"/>
      <c r="AA27" s="319"/>
      <c r="AB27" s="319"/>
      <c r="AC27" s="319"/>
      <c r="AD27" s="319"/>
      <c r="AE27" s="319"/>
      <c r="AF27" s="319"/>
    </row>
    <row r="28" spans="1:32" s="102" customFormat="1" ht="12.75" customHeight="1">
      <c r="A28" s="319"/>
      <c r="B28" s="313"/>
      <c r="C28" s="857"/>
      <c r="D28" s="626"/>
      <c r="E28" s="948"/>
      <c r="F28" s="922" t="s">
        <v>129</v>
      </c>
      <c r="G28" s="952"/>
      <c r="H28" s="922" t="s">
        <v>129</v>
      </c>
      <c r="I28" s="952"/>
      <c r="J28" s="922" t="s">
        <v>129</v>
      </c>
      <c r="K28" s="952"/>
      <c r="L28" s="922" t="s">
        <v>129</v>
      </c>
      <c r="M28" s="969"/>
      <c r="N28" s="973" t="s">
        <v>129</v>
      </c>
      <c r="O28" s="832"/>
      <c r="P28" s="319"/>
      <c r="Q28" s="319"/>
      <c r="R28" s="98"/>
      <c r="S28" s="98"/>
      <c r="T28" s="313"/>
      <c r="U28" s="313"/>
      <c r="V28" s="313"/>
      <c r="W28" s="319"/>
      <c r="X28" s="319"/>
      <c r="Y28" s="319"/>
      <c r="Z28" s="319"/>
      <c r="AA28" s="319"/>
      <c r="AB28" s="319"/>
      <c r="AC28" s="319"/>
      <c r="AD28" s="319"/>
      <c r="AE28" s="319"/>
      <c r="AF28" s="319"/>
    </row>
    <row r="29" spans="1:32" s="263" customFormat="1" ht="36" customHeight="1">
      <c r="A29" s="319"/>
      <c r="B29" s="935" t="str">
        <f>IF('Język - Language'!$B$30="Polski","EMISJA ODSŁONOWA","CPM EMISSION")</f>
        <v>EMISJA ODSŁONOWA</v>
      </c>
      <c r="C29" s="314" t="str">
        <f>IF('Język - Language'!$B$30="Polski","WPM ZASIĘG","WPM REACH")</f>
        <v>WPM ZASIĘG</v>
      </c>
      <c r="D29" s="680" t="str">
        <f>IF('Język - Language'!$B$30="Polski","WPM Zasięg (bez stron głównych o2 i WP oraz bez serwisów pocztowych)","WPM Reach (without o2 HP, WP HP and e-mail services)")</f>
        <v>WPM Zasięg (bez stron głównych o2 i WP oraz bez serwisów pocztowych)</v>
      </c>
      <c r="E29" s="681"/>
      <c r="F29" s="782">
        <v>27</v>
      </c>
      <c r="G29" s="970"/>
      <c r="H29" s="971">
        <v>41</v>
      </c>
      <c r="I29" s="970"/>
      <c r="J29" s="971">
        <v>54</v>
      </c>
      <c r="K29" s="783"/>
      <c r="L29" s="960" t="s">
        <v>59</v>
      </c>
      <c r="M29" s="961"/>
      <c r="N29" s="960" t="s">
        <v>59</v>
      </c>
      <c r="O29" s="961"/>
      <c r="P29" s="319"/>
      <c r="Q29" s="319"/>
      <c r="R29" s="96"/>
      <c r="S29" s="96"/>
      <c r="T29" s="313"/>
      <c r="U29" s="313"/>
      <c r="V29" s="313"/>
      <c r="W29" s="319"/>
      <c r="X29" s="319"/>
      <c r="Y29" s="319"/>
      <c r="Z29" s="319"/>
      <c r="AA29" s="319"/>
      <c r="AB29" s="319"/>
      <c r="AC29" s="319"/>
      <c r="AD29" s="319"/>
      <c r="AE29" s="319"/>
      <c r="AF29" s="319"/>
    </row>
    <row r="30" spans="1:32" s="263" customFormat="1" ht="36" customHeight="1">
      <c r="A30" s="319"/>
      <c r="B30" s="935"/>
      <c r="C30" s="314" t="s">
        <v>64</v>
      </c>
      <c r="D30" s="864" t="str">
        <f>IF('Język - Language'!$B$30="Polski","WP SG, o2 SG²","WP HP, o2 HP²")</f>
        <v>WP SG, o2 SG²</v>
      </c>
      <c r="E30" s="865"/>
      <c r="F30" s="790" t="s">
        <v>59</v>
      </c>
      <c r="G30" s="791"/>
      <c r="H30" s="790">
        <v>80</v>
      </c>
      <c r="I30" s="791"/>
      <c r="J30" s="790">
        <v>105</v>
      </c>
      <c r="K30" s="791"/>
      <c r="L30" s="870">
        <v>125</v>
      </c>
      <c r="M30" s="871"/>
      <c r="N30" s="858" t="s">
        <v>59</v>
      </c>
      <c r="O30" s="859"/>
      <c r="P30" s="319"/>
      <c r="Q30" s="319"/>
      <c r="R30" s="96"/>
      <c r="S30" s="96"/>
      <c r="T30" s="313"/>
      <c r="U30" s="313"/>
      <c r="V30" s="313"/>
      <c r="W30" s="319"/>
      <c r="X30" s="319"/>
      <c r="Y30" s="319"/>
      <c r="Z30" s="319"/>
      <c r="AA30" s="319"/>
      <c r="AB30" s="319"/>
      <c r="AC30" s="319"/>
      <c r="AD30" s="319"/>
      <c r="AE30" s="319"/>
      <c r="AF30" s="319"/>
    </row>
    <row r="31" spans="1:32" s="263" customFormat="1" ht="12.75" hidden="1" customHeight="1" outlineLevel="1">
      <c r="A31" s="319"/>
      <c r="B31" s="935"/>
      <c r="C31" s="856" t="str">
        <f>IF('Język - Language'!$B$30="Polski","BIZNES","BUSINESS")</f>
        <v>BIZNES</v>
      </c>
      <c r="D31" s="513" t="s">
        <v>42</v>
      </c>
      <c r="E31" s="514"/>
      <c r="F31" s="851">
        <f>ROUND(F33*(1+0.3),-1)</f>
        <v>120</v>
      </c>
      <c r="G31" s="852"/>
      <c r="H31" s="851">
        <f>ROUND(H33*(1+0.3),-1)</f>
        <v>180</v>
      </c>
      <c r="I31" s="852"/>
      <c r="J31" s="851">
        <f>ROUND(J33*(1+0.3),-1)</f>
        <v>230</v>
      </c>
      <c r="K31" s="852"/>
      <c r="L31" s="851">
        <f>ROUND(L33*(1+0.3),-1)</f>
        <v>270</v>
      </c>
      <c r="M31" s="852"/>
      <c r="N31" s="851">
        <f>ROUND(N33*(1+0.3),-1)</f>
        <v>310</v>
      </c>
      <c r="O31" s="852"/>
      <c r="P31" s="319"/>
      <c r="Q31" s="319"/>
      <c r="R31" s="96"/>
      <c r="S31" s="96"/>
      <c r="T31" s="313"/>
      <c r="U31" s="313"/>
      <c r="V31" s="313"/>
      <c r="W31" s="319"/>
      <c r="X31" s="319"/>
      <c r="Y31" s="319"/>
      <c r="Z31" s="319"/>
      <c r="AA31" s="319"/>
      <c r="AB31" s="319"/>
      <c r="AC31" s="319"/>
      <c r="AD31" s="319"/>
      <c r="AE31" s="319"/>
      <c r="AF31" s="319"/>
    </row>
    <row r="32" spans="1:32" s="319" customFormat="1" ht="12.75" hidden="1" customHeight="1" outlineLevel="1">
      <c r="B32" s="935"/>
      <c r="C32" s="856"/>
      <c r="D32" s="515" t="s">
        <v>179</v>
      </c>
      <c r="E32" s="516"/>
      <c r="F32" s="972">
        <f>ROUND(F33*(1+0.3),-1)</f>
        <v>120</v>
      </c>
      <c r="G32" s="635"/>
      <c r="H32" s="972">
        <f>ROUND(H33*(1+0.3),-1)</f>
        <v>180</v>
      </c>
      <c r="I32" s="635"/>
      <c r="J32" s="972">
        <f>ROUND(J33*(1+0.3),-1)</f>
        <v>230</v>
      </c>
      <c r="K32" s="635"/>
      <c r="L32" s="972">
        <f>ROUND(L33*(1+0.3),-1)</f>
        <v>270</v>
      </c>
      <c r="M32" s="635"/>
      <c r="N32" s="972">
        <f>ROUND(N33*(1+0.3),-1)</f>
        <v>310</v>
      </c>
      <c r="O32" s="635"/>
      <c r="R32" s="96"/>
      <c r="S32" s="96"/>
      <c r="T32" s="313"/>
      <c r="U32" s="313"/>
      <c r="V32" s="313"/>
    </row>
    <row r="33" spans="1:32" s="319" customFormat="1" ht="36" customHeight="1" collapsed="1">
      <c r="B33" s="935"/>
      <c r="C33" s="857"/>
      <c r="D33" s="680" t="str">
        <f>D31&amp;", "&amp;D32</f>
        <v>WP Finanse, Portal Money.pl</v>
      </c>
      <c r="E33" s="681"/>
      <c r="F33" s="790">
        <v>90</v>
      </c>
      <c r="G33" s="791"/>
      <c r="H33" s="790">
        <v>135</v>
      </c>
      <c r="I33" s="791"/>
      <c r="J33" s="790">
        <v>180</v>
      </c>
      <c r="K33" s="791"/>
      <c r="L33" s="870">
        <v>210</v>
      </c>
      <c r="M33" s="871"/>
      <c r="N33" s="870">
        <v>235</v>
      </c>
      <c r="O33" s="871"/>
      <c r="R33" s="96"/>
      <c r="S33" s="96"/>
      <c r="T33" s="313"/>
      <c r="U33" s="313"/>
      <c r="V33" s="313"/>
    </row>
    <row r="34" spans="1:32" s="263" customFormat="1" ht="12.75" hidden="1" customHeight="1" outlineLevel="1">
      <c r="A34" s="319"/>
      <c r="B34" s="935"/>
      <c r="C34" s="855" t="str">
        <f>IF('Język - Language'!$B$30="Polski","INFO I SPORT","INFO AND SPORT")</f>
        <v>INFO I SPORT</v>
      </c>
      <c r="D34" s="513" t="s">
        <v>40</v>
      </c>
      <c r="E34" s="514"/>
      <c r="F34" s="841">
        <f>ROUND(F39*(1+0.3),-1)</f>
        <v>70</v>
      </c>
      <c r="G34" s="842"/>
      <c r="H34" s="841">
        <f>ROUND(H39*(1+0.3),-1)</f>
        <v>100</v>
      </c>
      <c r="I34" s="842"/>
      <c r="J34" s="841">
        <f>ROUND(J39*(1+0.3),-1)</f>
        <v>140</v>
      </c>
      <c r="K34" s="842"/>
      <c r="L34" s="841">
        <f>ROUND(L39*(1+0.3),-1)</f>
        <v>160</v>
      </c>
      <c r="M34" s="842"/>
      <c r="N34" s="841">
        <f>ROUND(N39*(1+0.3),-1)</f>
        <v>190</v>
      </c>
      <c r="O34" s="842"/>
      <c r="P34" s="319"/>
      <c r="Q34" s="319"/>
      <c r="R34" s="96"/>
      <c r="S34" s="96"/>
      <c r="T34" s="313"/>
      <c r="U34" s="313"/>
      <c r="V34" s="313"/>
      <c r="W34" s="319"/>
      <c r="X34" s="319"/>
      <c r="Y34" s="319"/>
      <c r="Z34" s="319"/>
      <c r="AA34" s="319"/>
      <c r="AB34" s="319"/>
      <c r="AC34" s="319"/>
      <c r="AD34" s="319"/>
      <c r="AE34" s="319"/>
      <c r="AF34" s="319"/>
    </row>
    <row r="35" spans="1:32" s="319" customFormat="1" ht="12.75" hidden="1" customHeight="1" outlineLevel="1">
      <c r="B35" s="935"/>
      <c r="C35" s="856"/>
      <c r="D35" s="517" t="s">
        <v>126</v>
      </c>
      <c r="E35" s="518"/>
      <c r="F35" s="839">
        <f>ROUND(F39*(1+0.3),-1)</f>
        <v>70</v>
      </c>
      <c r="G35" s="840"/>
      <c r="H35" s="839">
        <f>ROUND(H39*(1+0.3),-1)</f>
        <v>100</v>
      </c>
      <c r="I35" s="840"/>
      <c r="J35" s="839">
        <f>ROUND(J39*(1+0.3),-1)</f>
        <v>140</v>
      </c>
      <c r="K35" s="840"/>
      <c r="L35" s="839">
        <f>ROUND(L39*(1+0.3),-1)</f>
        <v>160</v>
      </c>
      <c r="M35" s="840"/>
      <c r="N35" s="839">
        <f>ROUND(N39*(1+0.3),-1)</f>
        <v>190</v>
      </c>
      <c r="O35" s="840"/>
      <c r="R35" s="96"/>
      <c r="S35" s="96"/>
      <c r="T35" s="313"/>
      <c r="U35" s="313"/>
      <c r="V35" s="313"/>
    </row>
    <row r="36" spans="1:32" s="319" customFormat="1" ht="12.75" hidden="1" customHeight="1" outlineLevel="1">
      <c r="B36" s="935"/>
      <c r="C36" s="856"/>
      <c r="D36" s="517" t="s">
        <v>180</v>
      </c>
      <c r="E36" s="518"/>
      <c r="F36" s="839">
        <f>ROUND(F39*(1+0.3),-1)</f>
        <v>70</v>
      </c>
      <c r="G36" s="840"/>
      <c r="H36" s="839">
        <f>ROUND(H39*(1+0.3),-1)</f>
        <v>100</v>
      </c>
      <c r="I36" s="840"/>
      <c r="J36" s="839">
        <f>ROUND(J39*(1+0.3),-1)</f>
        <v>140</v>
      </c>
      <c r="K36" s="840"/>
      <c r="L36" s="839">
        <f>ROUND(L39*(1+0.3),-1)</f>
        <v>160</v>
      </c>
      <c r="M36" s="840"/>
      <c r="N36" s="839">
        <f>ROUND(N39*(1+0.3),-1)</f>
        <v>190</v>
      </c>
      <c r="O36" s="840"/>
      <c r="R36" s="96"/>
      <c r="S36" s="96"/>
      <c r="T36" s="313"/>
      <c r="U36" s="313"/>
      <c r="V36" s="313"/>
    </row>
    <row r="37" spans="1:32" s="319" customFormat="1" ht="12.75" hidden="1" customHeight="1" outlineLevel="1">
      <c r="B37" s="935"/>
      <c r="C37" s="856"/>
      <c r="D37" s="517" t="s">
        <v>31</v>
      </c>
      <c r="E37" s="518"/>
      <c r="F37" s="839">
        <f>ROUND(F39*(1+0.3),-1)</f>
        <v>70</v>
      </c>
      <c r="G37" s="840"/>
      <c r="H37" s="839">
        <f>ROUND(H39*(1+0.3),-1)</f>
        <v>100</v>
      </c>
      <c r="I37" s="840"/>
      <c r="J37" s="839">
        <f>ROUND(J39*(1+0.3),-1)</f>
        <v>140</v>
      </c>
      <c r="K37" s="840"/>
      <c r="L37" s="839">
        <f>ROUND(L39*(1+0.3),-1)</f>
        <v>160</v>
      </c>
      <c r="M37" s="840"/>
      <c r="N37" s="839">
        <f>ROUND(N39*(1+0.3),-1)</f>
        <v>190</v>
      </c>
      <c r="O37" s="840"/>
      <c r="R37" s="96"/>
      <c r="S37" s="96"/>
      <c r="T37" s="313"/>
      <c r="U37" s="313"/>
      <c r="V37" s="313"/>
    </row>
    <row r="38" spans="1:32" s="319" customFormat="1" ht="12.75" hidden="1" customHeight="1" outlineLevel="1">
      <c r="B38" s="935"/>
      <c r="C38" s="856"/>
      <c r="D38" s="517" t="s">
        <v>181</v>
      </c>
      <c r="E38" s="518"/>
      <c r="F38" s="843">
        <f>ROUND(F39*(1+0.3),-1)</f>
        <v>70</v>
      </c>
      <c r="G38" s="844"/>
      <c r="H38" s="843">
        <f>ROUND(H39*(1+0.3),-1)</f>
        <v>100</v>
      </c>
      <c r="I38" s="844"/>
      <c r="J38" s="843">
        <f>ROUND(J39*(1+0.3),-1)</f>
        <v>140</v>
      </c>
      <c r="K38" s="844"/>
      <c r="L38" s="843">
        <f>ROUND(L39*(1+0.3),-1)</f>
        <v>160</v>
      </c>
      <c r="M38" s="844"/>
      <c r="N38" s="843">
        <f>ROUND(N39*(1+0.3),-1)</f>
        <v>190</v>
      </c>
      <c r="O38" s="844"/>
      <c r="R38" s="96"/>
      <c r="S38" s="96"/>
      <c r="T38" s="313"/>
      <c r="U38" s="313"/>
      <c r="V38" s="313"/>
    </row>
    <row r="39" spans="1:32" s="319" customFormat="1" ht="36" customHeight="1" collapsed="1">
      <c r="B39" s="935"/>
      <c r="C39" s="857"/>
      <c r="D39" s="864" t="str">
        <f>D34&amp;", "&amp;D35&amp;", "&amp;D36&amp;", "&amp;D37&amp;", "&amp;D38</f>
        <v>WP Wiadomości, WP Opinie, WP Pogoda, WP SportoweFakty, Wawalove</v>
      </c>
      <c r="E39" s="865"/>
      <c r="F39" s="847">
        <v>55</v>
      </c>
      <c r="G39" s="848"/>
      <c r="H39" s="847">
        <v>80</v>
      </c>
      <c r="I39" s="848"/>
      <c r="J39" s="847">
        <v>105</v>
      </c>
      <c r="K39" s="848"/>
      <c r="L39" s="870">
        <v>125</v>
      </c>
      <c r="M39" s="871"/>
      <c r="N39" s="870">
        <v>145</v>
      </c>
      <c r="O39" s="871"/>
      <c r="R39" s="96"/>
      <c r="S39" s="96"/>
      <c r="T39" s="313"/>
      <c r="U39" s="313"/>
      <c r="V39" s="313"/>
    </row>
    <row r="40" spans="1:32" s="319" customFormat="1" ht="12.75" hidden="1" customHeight="1" outlineLevel="1">
      <c r="B40" s="935"/>
      <c r="C40" s="845" t="str">
        <f>IF('Język - Language'!$B$30="Polski","MOTORYZACJA","AUTOMOTIVE")</f>
        <v>MOTORYZACJA</v>
      </c>
      <c r="D40" s="513" t="s">
        <v>34</v>
      </c>
      <c r="E40" s="514"/>
      <c r="F40" s="841">
        <f>ROUND(F42*(1+0.3),-1)</f>
        <v>60</v>
      </c>
      <c r="G40" s="842"/>
      <c r="H40" s="841">
        <f>ROUND(H42*(1+0.3),-1)</f>
        <v>90</v>
      </c>
      <c r="I40" s="842"/>
      <c r="J40" s="841">
        <f>ROUND(J42*(1+0.3),-1)</f>
        <v>120</v>
      </c>
      <c r="K40" s="842"/>
      <c r="L40" s="841">
        <f>ROUND(L42*(1+0.3),-1)</f>
        <v>140</v>
      </c>
      <c r="M40" s="842"/>
      <c r="N40" s="841">
        <f>ROUND(N42*(1+0.3),-1)</f>
        <v>160</v>
      </c>
      <c r="O40" s="842"/>
      <c r="R40" s="96"/>
      <c r="S40" s="96"/>
      <c r="T40" s="313"/>
      <c r="U40" s="313"/>
      <c r="V40" s="313"/>
    </row>
    <row r="41" spans="1:32" s="319" customFormat="1" ht="12.75" hidden="1" customHeight="1" outlineLevel="1">
      <c r="B41" s="935"/>
      <c r="C41" s="833"/>
      <c r="D41" s="515" t="s">
        <v>41</v>
      </c>
      <c r="E41" s="516"/>
      <c r="F41" s="843">
        <f>ROUND(F42*(1+0.3),-1)</f>
        <v>60</v>
      </c>
      <c r="G41" s="844"/>
      <c r="H41" s="843">
        <f>ROUND(H42*(1+0.3),-1)</f>
        <v>90</v>
      </c>
      <c r="I41" s="844"/>
      <c r="J41" s="843">
        <f>ROUND(J42*(1+0.3),-1)</f>
        <v>120</v>
      </c>
      <c r="K41" s="844"/>
      <c r="L41" s="843">
        <f>ROUND(L42*(1+0.3),-1)</f>
        <v>140</v>
      </c>
      <c r="M41" s="844"/>
      <c r="N41" s="843">
        <f>ROUND(N42*(1+0.3),-1)</f>
        <v>160</v>
      </c>
      <c r="O41" s="844"/>
      <c r="R41" s="96"/>
      <c r="S41" s="96"/>
      <c r="T41" s="313"/>
      <c r="U41" s="313"/>
      <c r="V41" s="313"/>
    </row>
    <row r="42" spans="1:32" ht="36" customHeight="1" collapsed="1">
      <c r="A42" s="319"/>
      <c r="B42" s="935"/>
      <c r="C42" s="846"/>
      <c r="D42" s="680" t="str">
        <f>D40&amp;", "&amp;D41</f>
        <v>WP Autokult, WP Moto</v>
      </c>
      <c r="E42" s="681"/>
      <c r="F42" s="847">
        <v>45</v>
      </c>
      <c r="G42" s="848"/>
      <c r="H42" s="847">
        <v>68</v>
      </c>
      <c r="I42" s="848"/>
      <c r="J42" s="847">
        <v>90</v>
      </c>
      <c r="K42" s="848"/>
      <c r="L42" s="870">
        <v>106</v>
      </c>
      <c r="M42" s="871"/>
      <c r="N42" s="870">
        <v>120</v>
      </c>
      <c r="O42" s="871"/>
      <c r="P42" s="319"/>
      <c r="Q42" s="319"/>
      <c r="R42" s="98"/>
      <c r="S42" s="98"/>
      <c r="T42" s="313"/>
      <c r="U42" s="313"/>
      <c r="V42" s="313"/>
      <c r="W42" s="319"/>
      <c r="X42" s="319"/>
      <c r="Y42" s="319"/>
      <c r="Z42" s="319"/>
      <c r="AA42" s="319"/>
      <c r="AB42" s="319"/>
      <c r="AC42" s="319"/>
      <c r="AD42" s="319"/>
      <c r="AE42" s="319"/>
      <c r="AF42" s="319"/>
    </row>
    <row r="43" spans="1:32" s="319" customFormat="1" ht="12.75" hidden="1" customHeight="1" outlineLevel="1">
      <c r="B43" s="935"/>
      <c r="C43" s="855" t="str">
        <f>IF('Język - Language'!$B$30="Polski","ROZRYWKA","FUN")</f>
        <v>ROZRYWKA</v>
      </c>
      <c r="D43" s="513" t="s">
        <v>43</v>
      </c>
      <c r="E43" s="514"/>
      <c r="F43" s="841">
        <f>ROUND(F54*(1+0.3),-1)</f>
        <v>40</v>
      </c>
      <c r="G43" s="842"/>
      <c r="H43" s="841">
        <f>ROUND(H54*(1+0.3),-1)</f>
        <v>60</v>
      </c>
      <c r="I43" s="842"/>
      <c r="J43" s="841">
        <f>ROUND(J54*(1+0.3),-1)</f>
        <v>80</v>
      </c>
      <c r="K43" s="842"/>
      <c r="L43" s="841">
        <f>ROUND(L54*(1+0.3),-1)</f>
        <v>90</v>
      </c>
      <c r="M43" s="842"/>
      <c r="N43" s="841">
        <f>ROUND(N54*(1+0.3),-1)</f>
        <v>100</v>
      </c>
      <c r="O43" s="842"/>
      <c r="R43" s="98"/>
      <c r="S43" s="98"/>
      <c r="T43" s="313"/>
      <c r="U43" s="313"/>
      <c r="V43" s="313"/>
    </row>
    <row r="44" spans="1:32" s="319" customFormat="1" ht="12.75" hidden="1" customHeight="1" outlineLevel="1">
      <c r="B44" s="935"/>
      <c r="C44" s="856"/>
      <c r="D44" s="517" t="s">
        <v>67</v>
      </c>
      <c r="E44" s="518"/>
      <c r="F44" s="839">
        <f>ROUND(F54*(1+0.3),-1)</f>
        <v>40</v>
      </c>
      <c r="G44" s="840"/>
      <c r="H44" s="839">
        <f>ROUND(H54*(1+0.3),-1)</f>
        <v>60</v>
      </c>
      <c r="I44" s="840"/>
      <c r="J44" s="839">
        <f>ROUND(J54*(1+0.3),-1)</f>
        <v>80</v>
      </c>
      <c r="K44" s="840"/>
      <c r="L44" s="839">
        <f>ROUND(L54*(1+0.3),-1)</f>
        <v>90</v>
      </c>
      <c r="M44" s="840"/>
      <c r="N44" s="839">
        <f>ROUND(N54*(1+0.3),-1)</f>
        <v>100</v>
      </c>
      <c r="O44" s="840"/>
      <c r="R44" s="98"/>
      <c r="S44" s="98"/>
      <c r="T44" s="313"/>
      <c r="U44" s="313"/>
      <c r="V44" s="313"/>
    </row>
    <row r="45" spans="1:32" s="319" customFormat="1" ht="12.75" hidden="1" customHeight="1" outlineLevel="1">
      <c r="B45" s="935"/>
      <c r="C45" s="856"/>
      <c r="D45" s="517" t="s">
        <v>46</v>
      </c>
      <c r="E45" s="518"/>
      <c r="F45" s="839">
        <f>ROUND(F54*(1+0.3),-1)</f>
        <v>40</v>
      </c>
      <c r="G45" s="840"/>
      <c r="H45" s="839">
        <f>ROUND(H54*(1+0.3),-1)</f>
        <v>60</v>
      </c>
      <c r="I45" s="840"/>
      <c r="J45" s="839">
        <f>ROUND(J54*(1+0.3),-1)</f>
        <v>80</v>
      </c>
      <c r="K45" s="840"/>
      <c r="L45" s="839">
        <f>ROUND(L54*(1+0.3),-1)</f>
        <v>90</v>
      </c>
      <c r="M45" s="840"/>
      <c r="N45" s="839">
        <f>ROUND(N54*(1+0.3),-1)</f>
        <v>100</v>
      </c>
      <c r="O45" s="840"/>
      <c r="R45" s="98"/>
      <c r="S45" s="98"/>
      <c r="T45" s="313"/>
      <c r="U45" s="313"/>
      <c r="V45" s="313"/>
    </row>
    <row r="46" spans="1:32" s="319" customFormat="1" ht="12.75" hidden="1" customHeight="1" outlineLevel="1">
      <c r="B46" s="935"/>
      <c r="C46" s="856"/>
      <c r="D46" s="517" t="s">
        <v>182</v>
      </c>
      <c r="E46" s="518"/>
      <c r="F46" s="839">
        <f>ROUND(F54*(1+0.3),-1)</f>
        <v>40</v>
      </c>
      <c r="G46" s="840"/>
      <c r="H46" s="839">
        <f>ROUND(H54*(1+0.3),-1)</f>
        <v>60</v>
      </c>
      <c r="I46" s="840"/>
      <c r="J46" s="839">
        <f>ROUND(J54*(1+0.3),-1)</f>
        <v>80</v>
      </c>
      <c r="K46" s="840"/>
      <c r="L46" s="839">
        <f>ROUND(L54*(1+0.3),-1)</f>
        <v>90</v>
      </c>
      <c r="M46" s="840"/>
      <c r="N46" s="839">
        <f>ROUND(N54*(1+0.3),-1)</f>
        <v>100</v>
      </c>
      <c r="O46" s="840"/>
      <c r="R46" s="98"/>
      <c r="S46" s="98"/>
      <c r="T46" s="313"/>
      <c r="U46" s="313"/>
      <c r="V46" s="313"/>
    </row>
    <row r="47" spans="1:32" s="319" customFormat="1" ht="12.75" hidden="1" customHeight="1" outlineLevel="1">
      <c r="B47" s="935"/>
      <c r="C47" s="856"/>
      <c r="D47" s="517" t="s">
        <v>183</v>
      </c>
      <c r="E47" s="518"/>
      <c r="F47" s="839">
        <f>ROUND(F54*(1+0.3),-1)</f>
        <v>40</v>
      </c>
      <c r="G47" s="840"/>
      <c r="H47" s="839">
        <f>ROUND(H54*(1+0.3),-1)</f>
        <v>60</v>
      </c>
      <c r="I47" s="840"/>
      <c r="J47" s="839">
        <f>ROUND(J54*(1+0.3),-1)</f>
        <v>80</v>
      </c>
      <c r="K47" s="840"/>
      <c r="L47" s="839">
        <f>ROUND(L54*(1+0.3),-1)</f>
        <v>90</v>
      </c>
      <c r="M47" s="840"/>
      <c r="N47" s="839">
        <f>ROUND(N54*(1+0.3),-1)</f>
        <v>100</v>
      </c>
      <c r="O47" s="840"/>
      <c r="R47" s="98"/>
      <c r="S47" s="98"/>
      <c r="T47" s="313"/>
      <c r="U47" s="313"/>
      <c r="V47" s="313"/>
    </row>
    <row r="48" spans="1:32" s="319" customFormat="1" ht="12.75" hidden="1" customHeight="1" outlineLevel="1">
      <c r="B48" s="935"/>
      <c r="C48" s="856"/>
      <c r="D48" s="517" t="s">
        <v>174</v>
      </c>
      <c r="E48" s="518"/>
      <c r="F48" s="839">
        <f>ROUND(F81*(1+0.3),-1)</f>
        <v>60</v>
      </c>
      <c r="G48" s="840"/>
      <c r="H48" s="839">
        <f>ROUND(H81*(1+0.3),-1)</f>
        <v>90</v>
      </c>
      <c r="I48" s="840"/>
      <c r="J48" s="839">
        <f>ROUND(J81*(1+0.3),-1)</f>
        <v>120</v>
      </c>
      <c r="K48" s="840"/>
      <c r="L48" s="839">
        <f>ROUND(L81*(1+0.3),-1)</f>
        <v>140</v>
      </c>
      <c r="M48" s="840"/>
      <c r="N48" s="839" t="e">
        <f>ROUND(N81*(1+0.3),-1)</f>
        <v>#VALUE!</v>
      </c>
      <c r="O48" s="840"/>
      <c r="R48" s="98"/>
      <c r="S48" s="98"/>
      <c r="T48" s="313"/>
      <c r="U48" s="313"/>
      <c r="V48" s="313"/>
    </row>
    <row r="49" spans="1:27" s="319" customFormat="1" ht="12.75" hidden="1" customHeight="1" outlineLevel="1">
      <c r="B49" s="935"/>
      <c r="C49" s="856"/>
      <c r="D49" s="517" t="s">
        <v>184</v>
      </c>
      <c r="E49" s="518"/>
      <c r="F49" s="839">
        <f>ROUND(F81*(1+0.3),-1)</f>
        <v>60</v>
      </c>
      <c r="G49" s="840"/>
      <c r="H49" s="839">
        <f>ROUND(H81*(1+0.3),-1)</f>
        <v>90</v>
      </c>
      <c r="I49" s="840"/>
      <c r="J49" s="839">
        <f>ROUND(J81*(1+0.3),-1)</f>
        <v>120</v>
      </c>
      <c r="K49" s="840"/>
      <c r="L49" s="839">
        <f>ROUND(L81*(1+0.3),-1)</f>
        <v>140</v>
      </c>
      <c r="M49" s="840"/>
      <c r="N49" s="839" t="e">
        <f>ROUND(N81*(1+0.3),-1)</f>
        <v>#VALUE!</v>
      </c>
      <c r="O49" s="840"/>
      <c r="R49" s="98"/>
      <c r="S49" s="98"/>
      <c r="T49" s="313"/>
      <c r="U49" s="313"/>
      <c r="V49" s="313"/>
    </row>
    <row r="50" spans="1:27" s="319" customFormat="1" ht="12.75" hidden="1" customHeight="1" outlineLevel="1">
      <c r="B50" s="935"/>
      <c r="C50" s="856"/>
      <c r="D50" s="517" t="s">
        <v>56</v>
      </c>
      <c r="E50" s="518"/>
      <c r="F50" s="839">
        <f>ROUND(F54*(1+1),-1)</f>
        <v>60</v>
      </c>
      <c r="G50" s="840"/>
      <c r="H50" s="839">
        <f>ROUND(H54*(1+1),-1)</f>
        <v>90</v>
      </c>
      <c r="I50" s="840"/>
      <c r="J50" s="839">
        <f>ROUND(J54*(1+1),-1)</f>
        <v>120</v>
      </c>
      <c r="K50" s="840"/>
      <c r="L50" s="839">
        <f>ROUND(L54*(1+1),-1)</f>
        <v>140</v>
      </c>
      <c r="M50" s="840"/>
      <c r="N50" s="839">
        <f>ROUND(N54*(1+1),-1)</f>
        <v>160</v>
      </c>
      <c r="O50" s="840"/>
      <c r="R50" s="98"/>
      <c r="S50" s="98"/>
      <c r="T50" s="313"/>
      <c r="U50" s="313"/>
      <c r="V50" s="313"/>
    </row>
    <row r="51" spans="1:27" s="319" customFormat="1" ht="12.75" hidden="1" customHeight="1" outlineLevel="1">
      <c r="B51" s="935"/>
      <c r="C51" s="856"/>
      <c r="D51" s="517" t="s">
        <v>185</v>
      </c>
      <c r="E51" s="518"/>
      <c r="F51" s="839">
        <f>ROUND(F54*(1+0.3),-1)</f>
        <v>40</v>
      </c>
      <c r="G51" s="840"/>
      <c r="H51" s="839">
        <f>ROUND(H54*(1+0.3),-1)</f>
        <v>60</v>
      </c>
      <c r="I51" s="840"/>
      <c r="J51" s="839">
        <f>ROUND(J54*(1+0.3),-1)</f>
        <v>80</v>
      </c>
      <c r="K51" s="840"/>
      <c r="L51" s="839">
        <f>ROUND(L54*(1+0.3),-1)</f>
        <v>90</v>
      </c>
      <c r="M51" s="840"/>
      <c r="N51" s="839">
        <f>ROUND(N54*(1+0.3),-1)</f>
        <v>100</v>
      </c>
      <c r="O51" s="840"/>
      <c r="R51" s="98"/>
      <c r="S51" s="98"/>
      <c r="T51" s="313"/>
      <c r="U51" s="313"/>
      <c r="V51" s="313"/>
    </row>
    <row r="52" spans="1:27" s="319" customFormat="1" ht="12.75" hidden="1" customHeight="1" outlineLevel="1">
      <c r="B52" s="935"/>
      <c r="C52" s="856"/>
      <c r="D52" s="517" t="s">
        <v>186</v>
      </c>
      <c r="E52" s="518"/>
      <c r="F52" s="839">
        <f>ROUND(F54*(1+0.3),-1)</f>
        <v>40</v>
      </c>
      <c r="G52" s="840"/>
      <c r="H52" s="839">
        <f>ROUND(H54*(1+0.3),-1)</f>
        <v>60</v>
      </c>
      <c r="I52" s="840"/>
      <c r="J52" s="839">
        <f>ROUND(J54*(1+0.3),-1)</f>
        <v>80</v>
      </c>
      <c r="K52" s="840"/>
      <c r="L52" s="839">
        <f>ROUND(L54*(1+0.3),-1)</f>
        <v>90</v>
      </c>
      <c r="M52" s="840"/>
      <c r="N52" s="839">
        <f>ROUND(N54*(1+0.3),-1)</f>
        <v>100</v>
      </c>
      <c r="O52" s="840"/>
      <c r="R52" s="98"/>
      <c r="S52" s="98"/>
      <c r="T52" s="313"/>
      <c r="U52" s="313"/>
      <c r="V52" s="313"/>
    </row>
    <row r="53" spans="1:27" s="319" customFormat="1" ht="12.75" hidden="1" customHeight="1" outlineLevel="1">
      <c r="B53" s="935"/>
      <c r="C53" s="856"/>
      <c r="D53" s="515" t="s">
        <v>187</v>
      </c>
      <c r="E53" s="516"/>
      <c r="F53" s="843">
        <f>ROUND(F81*(1+0.3),-1)</f>
        <v>60</v>
      </c>
      <c r="G53" s="844"/>
      <c r="H53" s="843">
        <f>ROUND(H81*(1+0.3),-1)</f>
        <v>90</v>
      </c>
      <c r="I53" s="844"/>
      <c r="J53" s="843">
        <f>ROUND(J81*(1+0.3),-1)</f>
        <v>120</v>
      </c>
      <c r="K53" s="844"/>
      <c r="L53" s="843">
        <f>ROUND(L81*(1+0.3),-1)</f>
        <v>140</v>
      </c>
      <c r="M53" s="844"/>
      <c r="N53" s="843" t="e">
        <f>ROUND(N81*(1+0.3),-1)</f>
        <v>#VALUE!</v>
      </c>
      <c r="O53" s="844"/>
      <c r="R53" s="98"/>
      <c r="S53" s="98"/>
      <c r="T53" s="313"/>
      <c r="U53" s="313"/>
      <c r="V53" s="313"/>
    </row>
    <row r="54" spans="1:27" s="263" customFormat="1" ht="42" customHeight="1" collapsed="1">
      <c r="A54" s="319"/>
      <c r="B54" s="935"/>
      <c r="C54" s="857"/>
      <c r="D54" s="864" t="str">
        <f>D43&amp;", "&amp;D44&amp;", "&amp;D45&amp;", "&amp;D46&amp;", "&amp;D47&amp;", "&amp;D48&amp;", "&amp;D49&amp;", "&amp;D50&amp;", "&amp;D51&amp;", "&amp;D52&amp;", "&amp;D53</f>
        <v>WP Film, WP Gwiazdy, WP Książki, WP Program TV, WP Teleshow, WP Pilot, WP Wideo, Pudelek, o2 serwisy, o2 warstwy, OpenFM</v>
      </c>
      <c r="E54" s="865"/>
      <c r="F54" s="847">
        <v>30</v>
      </c>
      <c r="G54" s="848"/>
      <c r="H54" s="847">
        <v>45</v>
      </c>
      <c r="I54" s="848"/>
      <c r="J54" s="847">
        <v>60</v>
      </c>
      <c r="K54" s="848"/>
      <c r="L54" s="870">
        <v>70</v>
      </c>
      <c r="M54" s="871"/>
      <c r="N54" s="870">
        <v>78</v>
      </c>
      <c r="O54" s="871"/>
      <c r="P54" s="319"/>
      <c r="Q54" s="319"/>
      <c r="R54" s="96"/>
      <c r="S54" s="96"/>
      <c r="T54" s="313"/>
      <c r="U54" s="313"/>
      <c r="V54" s="313"/>
      <c r="W54" s="319"/>
      <c r="X54" s="319"/>
      <c r="Y54" s="319"/>
      <c r="Z54" s="319"/>
      <c r="AA54" s="319"/>
    </row>
    <row r="55" spans="1:27" s="319" customFormat="1" ht="12.75" hidden="1" customHeight="1" outlineLevel="1">
      <c r="B55" s="935"/>
      <c r="C55" s="855" t="str">
        <f>IF('Język - Language'!$B$30="Polski","STYL ŻYCIA","LIFESTYLE")</f>
        <v>STYL ŻYCIA</v>
      </c>
      <c r="D55" s="513" t="s">
        <v>38</v>
      </c>
      <c r="E55" s="514"/>
      <c r="F55" s="841">
        <f>ROUND(F77*(1+0.3),-1)</f>
        <v>110</v>
      </c>
      <c r="G55" s="842"/>
      <c r="H55" s="841">
        <f>ROUND(H77*(1+0.3),-1)</f>
        <v>160</v>
      </c>
      <c r="I55" s="842"/>
      <c r="J55" s="841">
        <f>ROUND(J77*(1+0.3),-1)</f>
        <v>210</v>
      </c>
      <c r="K55" s="842"/>
      <c r="L55" s="841">
        <f>ROUND(L77*(1+0.3),-1)</f>
        <v>240</v>
      </c>
      <c r="M55" s="842"/>
      <c r="N55" s="841">
        <f>ROUND(N77*(1+0.3),-1)</f>
        <v>270</v>
      </c>
      <c r="O55" s="842"/>
      <c r="R55" s="96"/>
      <c r="S55" s="96"/>
      <c r="T55" s="313"/>
      <c r="U55" s="313"/>
      <c r="V55" s="313"/>
    </row>
    <row r="56" spans="1:27" s="319" customFormat="1" ht="12.75" hidden="1" customHeight="1" outlineLevel="1">
      <c r="B56" s="935"/>
      <c r="C56" s="856"/>
      <c r="D56" s="517" t="s">
        <v>48</v>
      </c>
      <c r="E56" s="518"/>
      <c r="F56" s="839">
        <f>ROUND(F64*(1+0.3),-1)</f>
        <v>60</v>
      </c>
      <c r="G56" s="840"/>
      <c r="H56" s="839">
        <f>ROUND(H64*(1+0.3),-1)</f>
        <v>90</v>
      </c>
      <c r="I56" s="840"/>
      <c r="J56" s="839">
        <f>ROUND(J64*(1+0.3),-1)</f>
        <v>120</v>
      </c>
      <c r="K56" s="840"/>
      <c r="L56" s="839">
        <f>ROUND(L64*(1+0.3),-1)</f>
        <v>140</v>
      </c>
      <c r="M56" s="840"/>
      <c r="N56" s="839">
        <f>ROUND(N64*(1+0.3),-1)</f>
        <v>160</v>
      </c>
      <c r="O56" s="840"/>
      <c r="R56" s="96"/>
      <c r="S56" s="96"/>
      <c r="T56" s="313"/>
      <c r="U56" s="313"/>
      <c r="V56" s="313"/>
    </row>
    <row r="57" spans="1:27" s="319" customFormat="1" ht="12.75" hidden="1" customHeight="1" outlineLevel="1">
      <c r="B57" s="935"/>
      <c r="C57" s="856"/>
      <c r="D57" s="517" t="s">
        <v>45</v>
      </c>
      <c r="E57" s="518"/>
      <c r="F57" s="839">
        <f>ROUND(F64*(1+0.3),-1)</f>
        <v>60</v>
      </c>
      <c r="G57" s="840"/>
      <c r="H57" s="839">
        <f>ROUND(H64*(1+0.3),-1)</f>
        <v>90</v>
      </c>
      <c r="I57" s="840"/>
      <c r="J57" s="839">
        <f>ROUND(J64*(1+0.3),-1)</f>
        <v>120</v>
      </c>
      <c r="K57" s="840"/>
      <c r="L57" s="839">
        <f>ROUND(L64*(1+0.3),-1)</f>
        <v>140</v>
      </c>
      <c r="M57" s="840"/>
      <c r="N57" s="839">
        <f>ROUND(N64*(1+0.3),-1)</f>
        <v>160</v>
      </c>
      <c r="O57" s="840"/>
      <c r="R57" s="96"/>
      <c r="S57" s="96"/>
      <c r="T57" s="313"/>
      <c r="U57" s="313"/>
      <c r="V57" s="313"/>
    </row>
    <row r="58" spans="1:27" s="319" customFormat="1" ht="12.75" hidden="1" customHeight="1" outlineLevel="1">
      <c r="B58" s="935"/>
      <c r="C58" s="856"/>
      <c r="D58" s="517" t="s">
        <v>188</v>
      </c>
      <c r="E58" s="518"/>
      <c r="F58" s="839">
        <f>ROUND(F64*(1+0.3),-1)</f>
        <v>60</v>
      </c>
      <c r="G58" s="840"/>
      <c r="H58" s="839">
        <f>ROUND(H64*(1+0.3),-1)</f>
        <v>90</v>
      </c>
      <c r="I58" s="840"/>
      <c r="J58" s="839">
        <f>ROUND(J64*(1+0.3),-1)</f>
        <v>120</v>
      </c>
      <c r="K58" s="840"/>
      <c r="L58" s="839">
        <f>ROUND(L64*(1+0.3),-1)</f>
        <v>140</v>
      </c>
      <c r="M58" s="840"/>
      <c r="N58" s="839">
        <f>ROUND(N64*(1+0.3),-1)</f>
        <v>160</v>
      </c>
      <c r="O58" s="840"/>
      <c r="R58" s="96"/>
      <c r="S58" s="96"/>
      <c r="T58" s="313"/>
      <c r="U58" s="313"/>
      <c r="V58" s="313"/>
    </row>
    <row r="59" spans="1:27" s="319" customFormat="1" ht="12.75" hidden="1" customHeight="1" outlineLevel="1">
      <c r="B59" s="935"/>
      <c r="C59" s="856"/>
      <c r="D59" s="517" t="s">
        <v>47</v>
      </c>
      <c r="E59" s="518"/>
      <c r="F59" s="839">
        <f>ROUND(F64*(1+0.3),-1)</f>
        <v>60</v>
      </c>
      <c r="G59" s="840"/>
      <c r="H59" s="839">
        <f>ROUND(H64*(1+0.3),-1)</f>
        <v>90</v>
      </c>
      <c r="I59" s="840"/>
      <c r="J59" s="839">
        <f>ROUND(J64*(1+0.3),-1)</f>
        <v>120</v>
      </c>
      <c r="K59" s="840"/>
      <c r="L59" s="839">
        <f>ROUND(L64*(1+0.3),-1)</f>
        <v>140</v>
      </c>
      <c r="M59" s="840"/>
      <c r="N59" s="839">
        <f>ROUND(N64*(1+0.3),-1)</f>
        <v>160</v>
      </c>
      <c r="O59" s="840"/>
      <c r="R59" s="96"/>
      <c r="S59" s="96"/>
      <c r="T59" s="313"/>
      <c r="U59" s="313"/>
      <c r="V59" s="313"/>
    </row>
    <row r="60" spans="1:27" s="319" customFormat="1" ht="12.75" hidden="1" customHeight="1" outlineLevel="1">
      <c r="B60" s="935"/>
      <c r="C60" s="856"/>
      <c r="D60" s="517" t="s">
        <v>39</v>
      </c>
      <c r="E60" s="518"/>
      <c r="F60" s="839">
        <f>ROUND(F64*(1+0.3),-1)</f>
        <v>60</v>
      </c>
      <c r="G60" s="840"/>
      <c r="H60" s="839">
        <f>ROUND(H64*(1+0.3),-1)</f>
        <v>90</v>
      </c>
      <c r="I60" s="840"/>
      <c r="J60" s="839">
        <f>ROUND(J64*(1+0.3),-1)</f>
        <v>120</v>
      </c>
      <c r="K60" s="840"/>
      <c r="L60" s="839">
        <f>ROUND(L64*(1+0.3),-1)</f>
        <v>140</v>
      </c>
      <c r="M60" s="840"/>
      <c r="N60" s="839">
        <f>ROUND(N64*(1+0.3),-1)</f>
        <v>160</v>
      </c>
      <c r="O60" s="840"/>
      <c r="R60" s="96"/>
      <c r="S60" s="96"/>
      <c r="T60" s="313"/>
      <c r="U60" s="313"/>
      <c r="V60" s="313"/>
    </row>
    <row r="61" spans="1:27" s="319" customFormat="1" ht="12.75" hidden="1" customHeight="1" outlineLevel="1">
      <c r="B61" s="935"/>
      <c r="C61" s="856"/>
      <c r="D61" s="517" t="s">
        <v>182</v>
      </c>
      <c r="E61" s="518"/>
      <c r="F61" s="839">
        <f>ROUND(F54*(1+0.3),-1)</f>
        <v>40</v>
      </c>
      <c r="G61" s="840"/>
      <c r="H61" s="839">
        <f>ROUND(H54*(1+0.3),-1)</f>
        <v>60</v>
      </c>
      <c r="I61" s="840"/>
      <c r="J61" s="839">
        <f>ROUND(J54*(1+0.3),-1)</f>
        <v>80</v>
      </c>
      <c r="K61" s="840"/>
      <c r="L61" s="839">
        <f>ROUND(L54*(1+0.3),-1)</f>
        <v>90</v>
      </c>
      <c r="M61" s="840"/>
      <c r="N61" s="839">
        <f>ROUND(N54*(1+0.3),-1)</f>
        <v>100</v>
      </c>
      <c r="O61" s="840"/>
      <c r="R61" s="96"/>
      <c r="S61" s="96"/>
      <c r="T61" s="313"/>
      <c r="U61" s="313"/>
      <c r="V61" s="313"/>
    </row>
    <row r="62" spans="1:27" s="319" customFormat="1" ht="12.75" hidden="1" customHeight="1" outlineLevel="1">
      <c r="B62" s="935"/>
      <c r="C62" s="856"/>
      <c r="D62" s="517" t="s">
        <v>44</v>
      </c>
      <c r="E62" s="518"/>
      <c r="F62" s="839">
        <f>ROUND(F64*(1+0.3),-1)</f>
        <v>60</v>
      </c>
      <c r="G62" s="840"/>
      <c r="H62" s="839">
        <f>ROUND(H64*(1+0.3),-1)</f>
        <v>90</v>
      </c>
      <c r="I62" s="840"/>
      <c r="J62" s="839">
        <f>ROUND(J64*(1+0.3),-1)</f>
        <v>120</v>
      </c>
      <c r="K62" s="840"/>
      <c r="L62" s="839">
        <f>ROUND(L64*(1+0.3),-1)</f>
        <v>140</v>
      </c>
      <c r="M62" s="840"/>
      <c r="N62" s="839">
        <f>ROUND(N64*(1+0.3),-1)</f>
        <v>160</v>
      </c>
      <c r="O62" s="840"/>
      <c r="R62" s="96"/>
      <c r="S62" s="96"/>
      <c r="T62" s="313"/>
      <c r="U62" s="313"/>
      <c r="V62" s="313"/>
    </row>
    <row r="63" spans="1:27" s="319" customFormat="1" ht="12.75" hidden="1" customHeight="1" outlineLevel="1">
      <c r="B63" s="935"/>
      <c r="C63" s="856"/>
      <c r="D63" s="515" t="s">
        <v>187</v>
      </c>
      <c r="E63" s="516"/>
      <c r="F63" s="843">
        <f>ROUND(F81*(1+0.3),-1)</f>
        <v>60</v>
      </c>
      <c r="G63" s="844"/>
      <c r="H63" s="843">
        <f>ROUND(H81*(1+0.3),-1)</f>
        <v>90</v>
      </c>
      <c r="I63" s="844"/>
      <c r="J63" s="843">
        <f>ROUND(J81*(1+0.3),-1)</f>
        <v>120</v>
      </c>
      <c r="K63" s="844"/>
      <c r="L63" s="843">
        <f>ROUND(L81*(1+0.3),-1)</f>
        <v>140</v>
      </c>
      <c r="M63" s="844"/>
      <c r="N63" s="843" t="e">
        <f>ROUND(N81*(1+0.3),-1)</f>
        <v>#VALUE!</v>
      </c>
      <c r="O63" s="844"/>
      <c r="R63" s="96"/>
      <c r="S63" s="96"/>
      <c r="T63" s="313"/>
      <c r="U63" s="313"/>
      <c r="V63" s="313"/>
    </row>
    <row r="64" spans="1:27" ht="36" customHeight="1" collapsed="1">
      <c r="A64" s="319"/>
      <c r="B64" s="935"/>
      <c r="C64" s="857"/>
      <c r="D64" s="680" t="str">
        <f>D55&amp;", "&amp;D56&amp;", "&amp;D57&amp;", "&amp;D58&amp;", "&amp;D59&amp;", "&amp;D60&amp;", "&amp;D61&amp;", "&amp;D62&amp;", "&amp;D63</f>
        <v>WP abcZdrowie, WP Facet, WP Kobieta, Kafeteria.pl, WP Kuchnia, WP Parenting, WP Program TV, WP Turystyka, OpenFM</v>
      </c>
      <c r="E64" s="681"/>
      <c r="F64" s="847">
        <v>45</v>
      </c>
      <c r="G64" s="848"/>
      <c r="H64" s="847">
        <v>68</v>
      </c>
      <c r="I64" s="848"/>
      <c r="J64" s="847">
        <v>90</v>
      </c>
      <c r="K64" s="848"/>
      <c r="L64" s="870">
        <v>106</v>
      </c>
      <c r="M64" s="871"/>
      <c r="N64" s="870">
        <v>120</v>
      </c>
      <c r="O64" s="871"/>
      <c r="P64" s="319"/>
      <c r="Q64" s="319"/>
      <c r="R64" s="96"/>
      <c r="S64" s="96"/>
      <c r="T64" s="313"/>
      <c r="U64" s="313"/>
      <c r="V64" s="313"/>
      <c r="W64" s="319"/>
      <c r="X64" s="319"/>
      <c r="Y64" s="319"/>
      <c r="Z64" s="319"/>
      <c r="AA64" s="319"/>
    </row>
    <row r="65" spans="1:27" s="319" customFormat="1" ht="12.75" hidden="1" customHeight="1" outlineLevel="1">
      <c r="B65" s="935"/>
      <c r="C65" s="845" t="str">
        <f>IF('Język - Language'!$B$30="Polski","TECHNOLOGIA","TECHNOLOGY")</f>
        <v>TECHNOLOGIA</v>
      </c>
      <c r="D65" s="513" t="s">
        <v>189</v>
      </c>
      <c r="E65" s="514"/>
      <c r="F65" s="841">
        <f>ROUND(F71*(1+0.3),-1)</f>
        <v>60</v>
      </c>
      <c r="G65" s="842"/>
      <c r="H65" s="841">
        <f>ROUND(H71*(1+0.3),-1)</f>
        <v>90</v>
      </c>
      <c r="I65" s="842"/>
      <c r="J65" s="841">
        <f>ROUND(J71*(1+0.3),-1)</f>
        <v>120</v>
      </c>
      <c r="K65" s="842"/>
      <c r="L65" s="841">
        <f>ROUND(L71*(1+0.3),-1)</f>
        <v>140</v>
      </c>
      <c r="M65" s="842"/>
      <c r="N65" s="841">
        <f>ROUND(N71*(1+0.3),-1)</f>
        <v>160</v>
      </c>
      <c r="O65" s="842"/>
      <c r="R65" s="96"/>
      <c r="S65" s="96"/>
      <c r="T65" s="313"/>
      <c r="U65" s="313"/>
      <c r="V65" s="313"/>
    </row>
    <row r="66" spans="1:27" s="319" customFormat="1" ht="12.75" hidden="1" customHeight="1" outlineLevel="1">
      <c r="B66" s="935"/>
      <c r="C66" s="833"/>
      <c r="D66" s="517" t="s">
        <v>191</v>
      </c>
      <c r="E66" s="518"/>
      <c r="F66" s="839">
        <f>ROUND(F71*(1+0.3),-1)</f>
        <v>60</v>
      </c>
      <c r="G66" s="840"/>
      <c r="H66" s="839">
        <f>ROUND(H71*(1+0.3),-1)</f>
        <v>90</v>
      </c>
      <c r="I66" s="840"/>
      <c r="J66" s="839">
        <f>ROUND(J71*(1+0.3),-1)</f>
        <v>120</v>
      </c>
      <c r="K66" s="840"/>
      <c r="L66" s="839">
        <f>ROUND(L71*(1+0.3),-1)</f>
        <v>140</v>
      </c>
      <c r="M66" s="840"/>
      <c r="N66" s="839">
        <f>ROUND(N71*(1+0.3),-1)</f>
        <v>160</v>
      </c>
      <c r="O66" s="840"/>
      <c r="R66" s="96"/>
      <c r="S66" s="96"/>
      <c r="T66" s="313"/>
      <c r="U66" s="313"/>
      <c r="V66" s="313"/>
    </row>
    <row r="67" spans="1:27" s="319" customFormat="1" ht="12.75" hidden="1" customHeight="1" outlineLevel="1">
      <c r="B67" s="935"/>
      <c r="C67" s="833"/>
      <c r="D67" s="517" t="s">
        <v>37</v>
      </c>
      <c r="E67" s="518"/>
      <c r="F67" s="839">
        <f>ROUND(F71*(1+0.3),-1)</f>
        <v>60</v>
      </c>
      <c r="G67" s="840"/>
      <c r="H67" s="839">
        <f>ROUND(H71*(1+0.3),-1)</f>
        <v>90</v>
      </c>
      <c r="I67" s="840"/>
      <c r="J67" s="839">
        <f>ROUND(J71*(1+0.3),-1)</f>
        <v>120</v>
      </c>
      <c r="K67" s="840"/>
      <c r="L67" s="839">
        <f>ROUND(L71*(1+0.3),-1)</f>
        <v>140</v>
      </c>
      <c r="M67" s="840"/>
      <c r="N67" s="839">
        <f>ROUND(N71*(1+0.3),-1)</f>
        <v>160</v>
      </c>
      <c r="O67" s="840"/>
      <c r="R67" s="96"/>
      <c r="S67" s="96"/>
      <c r="T67" s="313"/>
      <c r="U67" s="313"/>
      <c r="V67" s="313"/>
    </row>
    <row r="68" spans="1:27" s="319" customFormat="1" ht="12.75" hidden="1" customHeight="1" outlineLevel="1">
      <c r="B68" s="935"/>
      <c r="C68" s="833"/>
      <c r="D68" s="517" t="s">
        <v>35</v>
      </c>
      <c r="E68" s="518"/>
      <c r="F68" s="839">
        <f>ROUND(F71*(1+0.3),-1)</f>
        <v>60</v>
      </c>
      <c r="G68" s="840"/>
      <c r="H68" s="839">
        <f>ROUND(H71*(1+0.3),-1)</f>
        <v>90</v>
      </c>
      <c r="I68" s="840"/>
      <c r="J68" s="839">
        <f>ROUND(J71*(1+0.3),-1)</f>
        <v>120</v>
      </c>
      <c r="K68" s="840"/>
      <c r="L68" s="839">
        <f>ROUND(L71*(1+0.3),-1)</f>
        <v>140</v>
      </c>
      <c r="M68" s="840"/>
      <c r="N68" s="839">
        <f>ROUND(N71*(1+0.3),-1)</f>
        <v>160</v>
      </c>
      <c r="O68" s="840"/>
      <c r="R68" s="96"/>
      <c r="S68" s="96"/>
      <c r="T68" s="313"/>
      <c r="U68" s="313"/>
      <c r="V68" s="313"/>
    </row>
    <row r="69" spans="1:27" s="319" customFormat="1" ht="12.75" hidden="1" customHeight="1" outlineLevel="1">
      <c r="B69" s="935"/>
      <c r="C69" s="833"/>
      <c r="D69" s="517" t="s">
        <v>36</v>
      </c>
      <c r="E69" s="518"/>
      <c r="F69" s="839">
        <f>ROUND(F71*(1+0.3),-1)</f>
        <v>60</v>
      </c>
      <c r="G69" s="840"/>
      <c r="H69" s="839">
        <f>ROUND(H71*(1+0.3),-1)</f>
        <v>90</v>
      </c>
      <c r="I69" s="840"/>
      <c r="J69" s="839">
        <f>ROUND(J71*(1+0.3),-1)</f>
        <v>120</v>
      </c>
      <c r="K69" s="840"/>
      <c r="L69" s="839">
        <f>ROUND(L71*(1+0.3),-1)</f>
        <v>140</v>
      </c>
      <c r="M69" s="840"/>
      <c r="N69" s="839">
        <f>ROUND(N71*(1+0.3),-1)</f>
        <v>160</v>
      </c>
      <c r="O69" s="840"/>
      <c r="R69" s="96"/>
      <c r="S69" s="96"/>
      <c r="T69" s="313"/>
      <c r="U69" s="313"/>
      <c r="V69" s="313"/>
    </row>
    <row r="70" spans="1:27" s="319" customFormat="1" ht="12.75" hidden="1" customHeight="1" outlineLevel="1">
      <c r="B70" s="935"/>
      <c r="C70" s="833"/>
      <c r="D70" s="515" t="s">
        <v>192</v>
      </c>
      <c r="E70" s="516"/>
      <c r="F70" s="843">
        <f>ROUND(F71*(1+0.3),-1)</f>
        <v>60</v>
      </c>
      <c r="G70" s="844"/>
      <c r="H70" s="843">
        <f>ROUND(H71*(1+0.3),-1)</f>
        <v>90</v>
      </c>
      <c r="I70" s="844"/>
      <c r="J70" s="843">
        <f>ROUND(J71*(1+0.3),-1)</f>
        <v>120</v>
      </c>
      <c r="K70" s="844"/>
      <c r="L70" s="843">
        <f>ROUND(L71*(1+0.3),-1)</f>
        <v>140</v>
      </c>
      <c r="M70" s="844"/>
      <c r="N70" s="843">
        <f>ROUND(N71*(1+0.3),-1)</f>
        <v>160</v>
      </c>
      <c r="O70" s="844"/>
      <c r="R70" s="96"/>
      <c r="S70" s="96"/>
      <c r="T70" s="313"/>
      <c r="U70" s="313"/>
      <c r="V70" s="313"/>
    </row>
    <row r="71" spans="1:27" s="88" customFormat="1" ht="36" customHeight="1" collapsed="1">
      <c r="A71" s="319"/>
      <c r="B71" s="935"/>
      <c r="C71" s="846"/>
      <c r="D71" s="680" t="str">
        <f>D65&amp;", "&amp;D66&amp;", "&amp;D67&amp;", "&amp;D68&amp;", "&amp;D69&amp;", "&amp;D70</f>
        <v>WP Tech, WP Gry, WP Fotoblogia, WP Gadżetomania, WP Komórkomania, dobreprogramy.pl⁵</v>
      </c>
      <c r="E71" s="681"/>
      <c r="F71" s="847">
        <v>45</v>
      </c>
      <c r="G71" s="848"/>
      <c r="H71" s="847">
        <v>68</v>
      </c>
      <c r="I71" s="848"/>
      <c r="J71" s="847">
        <v>90</v>
      </c>
      <c r="K71" s="848"/>
      <c r="L71" s="870">
        <v>106</v>
      </c>
      <c r="M71" s="871"/>
      <c r="N71" s="870">
        <v>120</v>
      </c>
      <c r="O71" s="871"/>
      <c r="P71" s="319"/>
      <c r="Q71" s="319"/>
      <c r="R71" s="96"/>
      <c r="S71" s="96"/>
      <c r="T71" s="313"/>
      <c r="U71" s="313"/>
      <c r="V71" s="313"/>
      <c r="W71" s="319"/>
      <c r="X71" s="319"/>
      <c r="Y71" s="319"/>
      <c r="Z71" s="319"/>
      <c r="AA71" s="319"/>
    </row>
    <row r="72" spans="1:27" s="319" customFormat="1" ht="12.75" hidden="1" customHeight="1" outlineLevel="1">
      <c r="B72" s="935"/>
      <c r="C72" s="855" t="str">
        <f>IF('Język - Language'!$B$30="Polski","ZDROWIE I PARENTING","HEALTH AND PARENTING")</f>
        <v>ZDROWIE I PARENTING</v>
      </c>
      <c r="D72" s="513" t="s">
        <v>38</v>
      </c>
      <c r="E72" s="514"/>
      <c r="F72" s="841">
        <f>ROUND(F77*(1+0.3),-1)</f>
        <v>110</v>
      </c>
      <c r="G72" s="842"/>
      <c r="H72" s="841">
        <f>ROUND(H77*(1+0.3),-1)</f>
        <v>160</v>
      </c>
      <c r="I72" s="842"/>
      <c r="J72" s="841">
        <f>ROUND(J77*(1+0.3),-1)</f>
        <v>210</v>
      </c>
      <c r="K72" s="842"/>
      <c r="L72" s="841">
        <f>ROUND(L77*(1+0.3),-1)</f>
        <v>240</v>
      </c>
      <c r="M72" s="842"/>
      <c r="N72" s="841">
        <f>ROUND(N77*(1+0.3),-1)</f>
        <v>270</v>
      </c>
      <c r="O72" s="842"/>
      <c r="R72" s="96"/>
      <c r="S72" s="96"/>
      <c r="T72" s="313"/>
      <c r="U72" s="313"/>
      <c r="V72" s="313"/>
    </row>
    <row r="73" spans="1:27" s="319" customFormat="1" ht="12.75" hidden="1" customHeight="1" outlineLevel="1">
      <c r="B73" s="935"/>
      <c r="C73" s="856"/>
      <c r="D73" s="517" t="s">
        <v>190</v>
      </c>
      <c r="E73" s="518"/>
      <c r="F73" s="839">
        <f>ROUND(F77*(1+0.3),-1)</f>
        <v>110</v>
      </c>
      <c r="G73" s="840"/>
      <c r="H73" s="839">
        <f>ROUND(H77*(1+0.3),-1)</f>
        <v>160</v>
      </c>
      <c r="I73" s="840"/>
      <c r="J73" s="839">
        <f>ROUND(J77*(1+0.3),-1)</f>
        <v>210</v>
      </c>
      <c r="K73" s="840"/>
      <c r="L73" s="839">
        <f>ROUND(L77*(1+0.3),-1)</f>
        <v>240</v>
      </c>
      <c r="M73" s="840"/>
      <c r="N73" s="839">
        <f>ROUND(N77*(1+0.3),-1)</f>
        <v>270</v>
      </c>
      <c r="O73" s="840"/>
      <c r="R73" s="96"/>
      <c r="S73" s="96"/>
      <c r="T73" s="313"/>
      <c r="U73" s="313"/>
      <c r="V73" s="313"/>
    </row>
    <row r="74" spans="1:27" s="319" customFormat="1" ht="12.75" hidden="1" customHeight="1" outlineLevel="1">
      <c r="B74" s="935"/>
      <c r="C74" s="856"/>
      <c r="D74" s="517" t="s">
        <v>39</v>
      </c>
      <c r="E74" s="518"/>
      <c r="F74" s="839">
        <f>ROUND(F77*(1+0.3),-1)</f>
        <v>110</v>
      </c>
      <c r="G74" s="840"/>
      <c r="H74" s="839">
        <f>ROUND(H77*(1+0.3),-1)</f>
        <v>160</v>
      </c>
      <c r="I74" s="840"/>
      <c r="J74" s="839">
        <f>ROUND(J77*(1+0.3),-1)</f>
        <v>210</v>
      </c>
      <c r="K74" s="840"/>
      <c r="L74" s="839">
        <f>ROUND(L77*(1+0.3),-1)</f>
        <v>240</v>
      </c>
      <c r="M74" s="840"/>
      <c r="N74" s="839">
        <f>ROUND(N77*(1+0.3),-1)</f>
        <v>270</v>
      </c>
      <c r="O74" s="840"/>
      <c r="R74" s="96"/>
      <c r="S74" s="96"/>
      <c r="T74" s="313"/>
      <c r="U74" s="313"/>
      <c r="V74" s="313"/>
    </row>
    <row r="75" spans="1:27" s="319" customFormat="1" ht="12.75" hidden="1" customHeight="1" outlineLevel="1">
      <c r="B75" s="935"/>
      <c r="C75" s="856"/>
      <c r="D75" s="517" t="s">
        <v>193</v>
      </c>
      <c r="E75" s="518"/>
      <c r="F75" s="839">
        <f>ROUND(F77*(1+0.3),-1)</f>
        <v>110</v>
      </c>
      <c r="G75" s="840"/>
      <c r="H75" s="839">
        <f>ROUND(H77*(1+0.3),-1)</f>
        <v>160</v>
      </c>
      <c r="I75" s="840"/>
      <c r="J75" s="839">
        <f>ROUND(J77*(1+0.3),-1)</f>
        <v>210</v>
      </c>
      <c r="K75" s="840"/>
      <c r="L75" s="839">
        <f>ROUND(L77*(1+0.3),-1)</f>
        <v>240</v>
      </c>
      <c r="M75" s="840"/>
      <c r="N75" s="839">
        <f>ROUND(N77*(1+0.3),-1)</f>
        <v>270</v>
      </c>
      <c r="O75" s="840"/>
      <c r="R75" s="96"/>
      <c r="S75" s="96"/>
      <c r="T75" s="313"/>
      <c r="U75" s="313"/>
      <c r="V75" s="313"/>
    </row>
    <row r="76" spans="1:27" s="319" customFormat="1" ht="12.75" hidden="1" customHeight="1" outlineLevel="1">
      <c r="B76" s="935"/>
      <c r="C76" s="856"/>
      <c r="D76" s="515" t="s">
        <v>194</v>
      </c>
      <c r="E76" s="516"/>
      <c r="F76" s="860">
        <f>ROUND(F77*(1+0.3),-1)</f>
        <v>110</v>
      </c>
      <c r="G76" s="861"/>
      <c r="H76" s="860">
        <f>ROUND(H77*(1+0.3),-1)</f>
        <v>160</v>
      </c>
      <c r="I76" s="861"/>
      <c r="J76" s="860">
        <f>ROUND(J77*(1+0.3),-1)</f>
        <v>210</v>
      </c>
      <c r="K76" s="861"/>
      <c r="L76" s="860">
        <f>ROUND(L77*(1+0.3),-1)</f>
        <v>240</v>
      </c>
      <c r="M76" s="861"/>
      <c r="N76" s="860">
        <f>ROUND(N77*(1+0.3),-1)</f>
        <v>270</v>
      </c>
      <c r="O76" s="861"/>
      <c r="R76" s="96"/>
      <c r="S76" s="96"/>
      <c r="T76" s="313"/>
      <c r="U76" s="313"/>
      <c r="V76" s="313"/>
    </row>
    <row r="77" spans="1:27" s="91" customFormat="1" ht="36" customHeight="1" collapsed="1">
      <c r="A77" s="319"/>
      <c r="B77" s="935"/>
      <c r="C77" s="857"/>
      <c r="D77" s="872" t="str">
        <f>D72&amp;", "&amp;D73&amp;", "&amp;D74&amp;", "&amp;D75&amp;", "&amp;D76</f>
        <v>WP abcZdrowie, WP Fitness, WP Parenting, Medycyna24, Nerwica.com</v>
      </c>
      <c r="E77" s="873"/>
      <c r="F77" s="790">
        <v>83</v>
      </c>
      <c r="G77" s="791"/>
      <c r="H77" s="790">
        <v>120</v>
      </c>
      <c r="I77" s="791"/>
      <c r="J77" s="790">
        <v>165</v>
      </c>
      <c r="K77" s="791"/>
      <c r="L77" s="868">
        <v>187</v>
      </c>
      <c r="M77" s="869"/>
      <c r="N77" s="868">
        <v>210</v>
      </c>
      <c r="O77" s="869"/>
      <c r="P77" s="319"/>
      <c r="Q77" s="319"/>
      <c r="R77" s="97"/>
      <c r="S77" s="97"/>
      <c r="T77" s="313"/>
      <c r="U77" s="313"/>
      <c r="V77" s="313"/>
      <c r="W77" s="319"/>
      <c r="X77" s="319"/>
      <c r="Y77" s="319"/>
      <c r="Z77" s="319"/>
      <c r="AA77" s="319"/>
    </row>
    <row r="78" spans="1:27" s="319" customFormat="1" ht="12.75" hidden="1" customHeight="1" outlineLevel="1">
      <c r="B78" s="935"/>
      <c r="C78" s="855" t="str">
        <f>IF('Język - Language'!$B$30="Polski","WIDEO I AUDIO","VIDEO AND AUDIO")</f>
        <v>WIDEO I AUDIO</v>
      </c>
      <c r="D78" s="521" t="s">
        <v>174</v>
      </c>
      <c r="E78" s="522"/>
      <c r="F78" s="851">
        <f>ROUND(F81*(1+0.3),-1)</f>
        <v>60</v>
      </c>
      <c r="G78" s="852"/>
      <c r="H78" s="851">
        <f>ROUND(H81*(1+0.3),-1)</f>
        <v>90</v>
      </c>
      <c r="I78" s="852"/>
      <c r="J78" s="851">
        <f>ROUND(J81*(1+0.3),-1)</f>
        <v>120</v>
      </c>
      <c r="K78" s="852"/>
      <c r="L78" s="851">
        <f>ROUND(L81*(1+0.3),-1)</f>
        <v>140</v>
      </c>
      <c r="M78" s="852"/>
      <c r="N78" s="851" t="e">
        <f>ROUND(N81*(1+0.3),-1)</f>
        <v>#VALUE!</v>
      </c>
      <c r="O78" s="852"/>
      <c r="R78" s="97"/>
      <c r="S78" s="97"/>
      <c r="T78" s="313"/>
      <c r="U78" s="313"/>
      <c r="V78" s="313"/>
    </row>
    <row r="79" spans="1:27" s="319" customFormat="1" ht="12.75" hidden="1" customHeight="1" outlineLevel="1">
      <c r="B79" s="935"/>
      <c r="C79" s="856"/>
      <c r="D79" s="523" t="s">
        <v>184</v>
      </c>
      <c r="E79" s="524"/>
      <c r="F79" s="849">
        <f>ROUND(F81*(1+0.3),-1)</f>
        <v>60</v>
      </c>
      <c r="G79" s="850"/>
      <c r="H79" s="849">
        <f>ROUND(H81*(1+0.3),-1)</f>
        <v>90</v>
      </c>
      <c r="I79" s="850"/>
      <c r="J79" s="849">
        <f>ROUND(J81*(1+0.3),-1)</f>
        <v>120</v>
      </c>
      <c r="K79" s="850"/>
      <c r="L79" s="849">
        <f>ROUND(L81*(1+0.3),-1)</f>
        <v>140</v>
      </c>
      <c r="M79" s="850"/>
      <c r="N79" s="849" t="e">
        <f>ROUND(N81*(1+0.3),-1)</f>
        <v>#VALUE!</v>
      </c>
      <c r="O79" s="850"/>
      <c r="R79" s="97"/>
      <c r="S79" s="97"/>
      <c r="T79" s="313"/>
      <c r="U79" s="313"/>
      <c r="V79" s="313"/>
    </row>
    <row r="80" spans="1:27" s="319" customFormat="1" ht="12.75" hidden="1" customHeight="1" outlineLevel="1">
      <c r="B80" s="935"/>
      <c r="C80" s="856"/>
      <c r="D80" s="519" t="s">
        <v>187</v>
      </c>
      <c r="E80" s="520"/>
      <c r="F80" s="862">
        <f>ROUND(F81*(1+0.3),-1)</f>
        <v>60</v>
      </c>
      <c r="G80" s="863"/>
      <c r="H80" s="862">
        <f>ROUND(H81*(1+0.3),-1)</f>
        <v>90</v>
      </c>
      <c r="I80" s="863"/>
      <c r="J80" s="862">
        <f>ROUND(J81*(1+0.3),-1)</f>
        <v>120</v>
      </c>
      <c r="K80" s="863"/>
      <c r="L80" s="862">
        <f>ROUND(L81*(1+0.3),-1)</f>
        <v>140</v>
      </c>
      <c r="M80" s="863"/>
      <c r="N80" s="862" t="e">
        <f>ROUND(N81*(1+0.3),-1)</f>
        <v>#VALUE!</v>
      </c>
      <c r="O80" s="863"/>
      <c r="R80" s="97"/>
      <c r="S80" s="97"/>
      <c r="T80" s="313"/>
      <c r="U80" s="313"/>
      <c r="V80" s="313"/>
    </row>
    <row r="81" spans="1:27" s="263" customFormat="1" ht="36" customHeight="1" collapsed="1">
      <c r="A81" s="319"/>
      <c r="B81" s="935"/>
      <c r="C81" s="857"/>
      <c r="D81" s="872" t="str">
        <f>D78&amp;", "&amp;D79&amp;", "&amp;D80</f>
        <v>WP Pilot, WP Wideo, OpenFM</v>
      </c>
      <c r="E81" s="873"/>
      <c r="F81" s="790">
        <v>45</v>
      </c>
      <c r="G81" s="791"/>
      <c r="H81" s="790">
        <v>68</v>
      </c>
      <c r="I81" s="791"/>
      <c r="J81" s="790">
        <v>90</v>
      </c>
      <c r="K81" s="791"/>
      <c r="L81" s="868">
        <v>106</v>
      </c>
      <c r="M81" s="869"/>
      <c r="N81" s="858" t="s">
        <v>59</v>
      </c>
      <c r="O81" s="859"/>
      <c r="P81" s="319"/>
      <c r="Q81" s="319"/>
      <c r="R81" s="97"/>
      <c r="S81" s="97"/>
      <c r="T81" s="313"/>
      <c r="U81" s="313"/>
      <c r="V81" s="313"/>
      <c r="W81" s="319"/>
      <c r="X81" s="319"/>
      <c r="Y81" s="319"/>
      <c r="Z81" s="319"/>
      <c r="AA81" s="319"/>
    </row>
    <row r="82" spans="1:27" s="319" customFormat="1" ht="12.75" hidden="1" customHeight="1" outlineLevel="1">
      <c r="B82" s="935"/>
      <c r="C82" s="845" t="str">
        <f>IF('Język - Language'!$B$30="Polski","PAKIET SPECJALNY 'KOBIETA'","DEDICATED PACKAGE 'WOMAN'")</f>
        <v>PAKIET SPECJALNY 'KOBIETA'</v>
      </c>
      <c r="D82" s="521" t="s">
        <v>188</v>
      </c>
      <c r="E82" s="522"/>
      <c r="F82" s="851">
        <f>ROUND(F92*(1+0.3),-1)</f>
        <v>60</v>
      </c>
      <c r="G82" s="852"/>
      <c r="H82" s="851">
        <f>ROUND(H92*(1+0.3),-1)</f>
        <v>90</v>
      </c>
      <c r="I82" s="852"/>
      <c r="J82" s="851">
        <f>ROUND(J92*(1+0.3),-1)</f>
        <v>120</v>
      </c>
      <c r="K82" s="852"/>
      <c r="L82" s="851">
        <f>ROUND(L92*(1+0.3),-1)</f>
        <v>140</v>
      </c>
      <c r="M82" s="852"/>
      <c r="N82" s="851">
        <f>ROUND(N92*(1+0.3),-1)</f>
        <v>160</v>
      </c>
      <c r="O82" s="852"/>
      <c r="R82" s="97"/>
      <c r="S82" s="97"/>
      <c r="T82" s="313"/>
      <c r="U82" s="313"/>
      <c r="V82" s="313"/>
    </row>
    <row r="83" spans="1:27" s="319" customFormat="1" ht="12.75" hidden="1" customHeight="1" outlineLevel="1">
      <c r="B83" s="935"/>
      <c r="C83" s="833"/>
      <c r="D83" s="523" t="s">
        <v>45</v>
      </c>
      <c r="E83" s="524"/>
      <c r="F83" s="849">
        <f>ROUND(F92*(1+0.3),-1)</f>
        <v>60</v>
      </c>
      <c r="G83" s="850"/>
      <c r="H83" s="849">
        <f>ROUND(H92*(1+0.3),-1)</f>
        <v>90</v>
      </c>
      <c r="I83" s="850"/>
      <c r="J83" s="849">
        <f>ROUND(J92*(1+0.3),-1)</f>
        <v>120</v>
      </c>
      <c r="K83" s="850"/>
      <c r="L83" s="849">
        <f>ROUND(L92*(1+0.3),-1)</f>
        <v>140</v>
      </c>
      <c r="M83" s="850"/>
      <c r="N83" s="849">
        <f>ROUND(N92*(1+0.3),-1)</f>
        <v>160</v>
      </c>
      <c r="O83" s="850"/>
      <c r="R83" s="97"/>
      <c r="S83" s="97"/>
      <c r="T83" s="313"/>
      <c r="U83" s="313"/>
      <c r="V83" s="313"/>
    </row>
    <row r="84" spans="1:27" s="319" customFormat="1" ht="12.75" hidden="1" customHeight="1" outlineLevel="1">
      <c r="B84" s="935"/>
      <c r="C84" s="833"/>
      <c r="D84" s="523" t="s">
        <v>56</v>
      </c>
      <c r="E84" s="524"/>
      <c r="F84" s="849">
        <f>ROUND(F54*(1+1),-1)</f>
        <v>60</v>
      </c>
      <c r="G84" s="850"/>
      <c r="H84" s="849">
        <f>ROUND(H54*(1+1),-1)</f>
        <v>90</v>
      </c>
      <c r="I84" s="850"/>
      <c r="J84" s="849">
        <f>ROUND(J54*(1+1),-1)</f>
        <v>120</v>
      </c>
      <c r="K84" s="850"/>
      <c r="L84" s="734">
        <f>ROUND(L54*(1+1),-1)</f>
        <v>140</v>
      </c>
      <c r="M84" s="735"/>
      <c r="N84" s="734">
        <f>ROUND(N54*(1+1),-1)</f>
        <v>160</v>
      </c>
      <c r="O84" s="735"/>
      <c r="R84" s="97"/>
      <c r="S84" s="97"/>
      <c r="T84" s="313"/>
      <c r="U84" s="313"/>
      <c r="V84" s="313"/>
    </row>
    <row r="85" spans="1:27" s="319" customFormat="1" ht="12.75" hidden="1" customHeight="1" outlineLevel="1">
      <c r="B85" s="935"/>
      <c r="C85" s="833"/>
      <c r="D85" s="523" t="s">
        <v>67</v>
      </c>
      <c r="E85" s="524"/>
      <c r="F85" s="849">
        <f>ROUND(F54*(1+0.3),-1)</f>
        <v>40</v>
      </c>
      <c r="G85" s="850"/>
      <c r="H85" s="849">
        <f>ROUND(H54*(1+0.3),-1)</f>
        <v>60</v>
      </c>
      <c r="I85" s="850"/>
      <c r="J85" s="849">
        <f>ROUND(J54*(1+0.3),-1)</f>
        <v>80</v>
      </c>
      <c r="K85" s="850"/>
      <c r="L85" s="849">
        <f>ROUND(L54*(1+0.3),-1)</f>
        <v>90</v>
      </c>
      <c r="M85" s="850"/>
      <c r="N85" s="849">
        <f>ROUND(N54*(1+0.3),-1)</f>
        <v>100</v>
      </c>
      <c r="O85" s="850"/>
      <c r="R85" s="97"/>
      <c r="S85" s="97"/>
      <c r="T85" s="313"/>
      <c r="U85" s="313"/>
      <c r="V85" s="313"/>
    </row>
    <row r="86" spans="1:27" s="319" customFormat="1" ht="12.75" hidden="1" customHeight="1" outlineLevel="1">
      <c r="B86" s="935"/>
      <c r="C86" s="833"/>
      <c r="D86" s="523" t="s">
        <v>47</v>
      </c>
      <c r="E86" s="524"/>
      <c r="F86" s="849">
        <f>ROUND(F64*(1+0.3),-1)</f>
        <v>60</v>
      </c>
      <c r="G86" s="850"/>
      <c r="H86" s="849">
        <f>ROUND(H64*(1+0.3),-1)</f>
        <v>90</v>
      </c>
      <c r="I86" s="850"/>
      <c r="J86" s="849">
        <f>ROUND(J64*(1+0.3),-1)</f>
        <v>120</v>
      </c>
      <c r="K86" s="850"/>
      <c r="L86" s="849">
        <f>ROUND(L64*(1+0.3),-1)</f>
        <v>140</v>
      </c>
      <c r="M86" s="850"/>
      <c r="N86" s="849">
        <f>ROUND(N64*(1+0.3),-1)</f>
        <v>160</v>
      </c>
      <c r="O86" s="850"/>
      <c r="R86" s="97"/>
      <c r="S86" s="97"/>
      <c r="T86" s="313"/>
      <c r="U86" s="313"/>
      <c r="V86" s="313"/>
    </row>
    <row r="87" spans="1:27" s="319" customFormat="1" ht="12.75" hidden="1" customHeight="1" outlineLevel="1">
      <c r="B87" s="935"/>
      <c r="C87" s="833"/>
      <c r="D87" s="523" t="s">
        <v>190</v>
      </c>
      <c r="E87" s="524"/>
      <c r="F87" s="849">
        <f>ROUND(F77*(1+0.3),-1)</f>
        <v>110</v>
      </c>
      <c r="G87" s="850"/>
      <c r="H87" s="849">
        <f>ROUND(H77*(1+0.3),-1)</f>
        <v>160</v>
      </c>
      <c r="I87" s="850"/>
      <c r="J87" s="849">
        <f>ROUND(J77*(1+0.3),-1)</f>
        <v>210</v>
      </c>
      <c r="K87" s="850"/>
      <c r="L87" s="849">
        <f>ROUND(L77*(1+0.3),-1)</f>
        <v>240</v>
      </c>
      <c r="M87" s="850"/>
      <c r="N87" s="849">
        <f>ROUND(N77*(1+0.3),-1)</f>
        <v>270</v>
      </c>
      <c r="O87" s="850"/>
      <c r="R87" s="97"/>
      <c r="S87" s="97"/>
      <c r="T87" s="313"/>
      <c r="U87" s="313"/>
      <c r="V87" s="313"/>
    </row>
    <row r="88" spans="1:27" s="319" customFormat="1" ht="12.75" hidden="1" customHeight="1" outlineLevel="1">
      <c r="B88" s="935"/>
      <c r="C88" s="833"/>
      <c r="D88" s="523" t="s">
        <v>38</v>
      </c>
      <c r="E88" s="524"/>
      <c r="F88" s="849">
        <f>ROUND(F77*(1+0.3),-1)</f>
        <v>110</v>
      </c>
      <c r="G88" s="850"/>
      <c r="H88" s="849">
        <f>ROUND(H77*(1+0.3),-1)</f>
        <v>160</v>
      </c>
      <c r="I88" s="850"/>
      <c r="J88" s="849">
        <f>ROUND(J77*(1+0.3),-1)</f>
        <v>210</v>
      </c>
      <c r="K88" s="850"/>
      <c r="L88" s="849">
        <f>ROUND(L77*(1+0.3),-1)</f>
        <v>240</v>
      </c>
      <c r="M88" s="850"/>
      <c r="N88" s="849">
        <f>ROUND(N77*(1+0.3),-1)</f>
        <v>270</v>
      </c>
      <c r="O88" s="850"/>
      <c r="R88" s="97"/>
      <c r="S88" s="97"/>
      <c r="T88" s="313"/>
      <c r="U88" s="313"/>
      <c r="V88" s="313"/>
    </row>
    <row r="89" spans="1:27" s="319" customFormat="1" ht="12.75" hidden="1" customHeight="1" outlineLevel="1">
      <c r="B89" s="935"/>
      <c r="C89" s="833"/>
      <c r="D89" s="523" t="s">
        <v>39</v>
      </c>
      <c r="E89" s="524"/>
      <c r="F89" s="849">
        <f>ROUND(F77*(1+0.3),-1)</f>
        <v>110</v>
      </c>
      <c r="G89" s="850"/>
      <c r="H89" s="849">
        <f>ROUND(H77*(1+0.3),-1)</f>
        <v>160</v>
      </c>
      <c r="I89" s="850"/>
      <c r="J89" s="849">
        <f>ROUND(J77*(1+0.3),-1)</f>
        <v>210</v>
      </c>
      <c r="K89" s="850"/>
      <c r="L89" s="849">
        <f>ROUND(L77*(1+0.3),-1)</f>
        <v>240</v>
      </c>
      <c r="M89" s="850"/>
      <c r="N89" s="849">
        <f>ROUND(N77*(1+0.3),-1)</f>
        <v>270</v>
      </c>
      <c r="O89" s="850"/>
      <c r="R89" s="97"/>
      <c r="S89" s="97"/>
      <c r="T89" s="313"/>
      <c r="U89" s="313"/>
      <c r="V89" s="313"/>
    </row>
    <row r="90" spans="1:27" s="319" customFormat="1" ht="12.75" hidden="1" customHeight="1" outlineLevel="1">
      <c r="B90" s="935"/>
      <c r="C90" s="833"/>
      <c r="D90" s="523" t="s">
        <v>183</v>
      </c>
      <c r="E90" s="524"/>
      <c r="F90" s="849">
        <f>ROUND(F54*(1+0.3),-1)</f>
        <v>40</v>
      </c>
      <c r="G90" s="850"/>
      <c r="H90" s="849">
        <f>ROUND(H54*(1+0.3),-1)</f>
        <v>60</v>
      </c>
      <c r="I90" s="850"/>
      <c r="J90" s="849">
        <f>ROUND(J54*(1+0.3),-1)</f>
        <v>80</v>
      </c>
      <c r="K90" s="850"/>
      <c r="L90" s="849">
        <f>ROUND(L54*(1+0.3),-1)</f>
        <v>90</v>
      </c>
      <c r="M90" s="850"/>
      <c r="N90" s="849">
        <f>ROUND(N54*(1+0.3),-1)</f>
        <v>100</v>
      </c>
      <c r="O90" s="850"/>
      <c r="R90" s="97"/>
      <c r="S90" s="97"/>
      <c r="T90" s="313"/>
      <c r="U90" s="313"/>
      <c r="V90" s="313"/>
    </row>
    <row r="91" spans="1:27" s="319" customFormat="1" ht="12.75" hidden="1" customHeight="1" outlineLevel="1">
      <c r="B91" s="935"/>
      <c r="C91" s="833"/>
      <c r="D91" s="519" t="s">
        <v>46</v>
      </c>
      <c r="E91" s="520"/>
      <c r="F91" s="853">
        <f>ROUND(F54*(1+0.3),-1)</f>
        <v>40</v>
      </c>
      <c r="G91" s="854"/>
      <c r="H91" s="853">
        <f>ROUND(H54*(1+0.3),-1)</f>
        <v>60</v>
      </c>
      <c r="I91" s="854"/>
      <c r="J91" s="853">
        <f>ROUND(J54*(1+0.3),-1)</f>
        <v>80</v>
      </c>
      <c r="K91" s="854"/>
      <c r="L91" s="853">
        <f>ROUND(L54*(1+0.3),-1)</f>
        <v>90</v>
      </c>
      <c r="M91" s="854"/>
      <c r="N91" s="853">
        <f>ROUND(N54*(1+0.3),-1)</f>
        <v>100</v>
      </c>
      <c r="O91" s="854"/>
      <c r="R91" s="97"/>
      <c r="S91" s="97"/>
      <c r="T91" s="313"/>
      <c r="U91" s="313"/>
      <c r="V91" s="313"/>
    </row>
    <row r="92" spans="1:27" s="319" customFormat="1" ht="42" customHeight="1" collapsed="1">
      <c r="B92" s="935"/>
      <c r="C92" s="846"/>
      <c r="D92" s="680" t="str">
        <f>D82&amp;", "&amp;D83&amp;", "&amp;D84&amp;", "&amp;D85&amp;", "&amp;D86&amp;", "&amp;D87&amp;", "&amp;D88&amp;", "&amp;D89&amp;", "&amp;D90&amp;", "&amp;D91</f>
        <v>Kafeteria.pl, WP Kobieta, Pudelek, WP Gwiazdy, WP Kuchnia, WP Fitness, WP abcZdrowie, WP Parenting, WP Teleshow, WP Książki</v>
      </c>
      <c r="E92" s="681"/>
      <c r="F92" s="847">
        <v>45</v>
      </c>
      <c r="G92" s="848"/>
      <c r="H92" s="847">
        <v>68</v>
      </c>
      <c r="I92" s="848"/>
      <c r="J92" s="847">
        <v>90</v>
      </c>
      <c r="K92" s="848"/>
      <c r="L92" s="870">
        <v>106</v>
      </c>
      <c r="M92" s="871"/>
      <c r="N92" s="870">
        <v>120</v>
      </c>
      <c r="O92" s="871"/>
      <c r="R92" s="97"/>
      <c r="S92" s="97"/>
      <c r="T92" s="313"/>
      <c r="U92" s="313"/>
      <c r="V92" s="313"/>
    </row>
    <row r="93" spans="1:27" s="319" customFormat="1" ht="12.75" hidden="1" customHeight="1" outlineLevel="1">
      <c r="B93" s="935"/>
      <c r="C93" s="845" t="str">
        <f>IF('Język - Language'!$B$30="Polski","PAKIET SPECJALNY 'MĘŻCZYZNA'","DEDICATED PACKAGE 'MAN'")</f>
        <v>PAKIET SPECJALNY 'MĘŻCZYZNA'</v>
      </c>
      <c r="D93" s="513" t="s">
        <v>31</v>
      </c>
      <c r="E93" s="514"/>
      <c r="F93" s="841">
        <f>ROUND(F39*(1+0.3),-1)</f>
        <v>70</v>
      </c>
      <c r="G93" s="842"/>
      <c r="H93" s="841">
        <f>ROUND(H39*(1+0.3),-1)</f>
        <v>100</v>
      </c>
      <c r="I93" s="842"/>
      <c r="J93" s="841">
        <f>ROUND(J39*(1+0.3),-1)</f>
        <v>140</v>
      </c>
      <c r="K93" s="842"/>
      <c r="L93" s="841">
        <f>ROUND(L39*(1+0.3),-1)</f>
        <v>160</v>
      </c>
      <c r="M93" s="842"/>
      <c r="N93" s="841">
        <f>ROUND(N39*(1+0.3),-1)</f>
        <v>190</v>
      </c>
      <c r="O93" s="842"/>
      <c r="R93" s="97"/>
      <c r="S93" s="97"/>
      <c r="T93" s="313"/>
      <c r="U93" s="313"/>
      <c r="V93" s="313"/>
    </row>
    <row r="94" spans="1:27" s="319" customFormat="1" ht="12.75" hidden="1" customHeight="1" outlineLevel="1">
      <c r="B94" s="935"/>
      <c r="C94" s="833"/>
      <c r="D94" s="517" t="s">
        <v>48</v>
      </c>
      <c r="E94" s="518"/>
      <c r="F94" s="839">
        <f>ROUND(F64*(1+0.3),-1)</f>
        <v>60</v>
      </c>
      <c r="G94" s="840"/>
      <c r="H94" s="839">
        <f>ROUND(H64*(1+0.3),-1)</f>
        <v>90</v>
      </c>
      <c r="I94" s="840"/>
      <c r="J94" s="839">
        <f>ROUND(J64*(1+0.3),-1)</f>
        <v>120</v>
      </c>
      <c r="K94" s="840"/>
      <c r="L94" s="839">
        <f>ROUND(L64*(1+0.3),-1)</f>
        <v>140</v>
      </c>
      <c r="M94" s="840"/>
      <c r="N94" s="839">
        <f>ROUND(N64*(1+0.3),-1)</f>
        <v>160</v>
      </c>
      <c r="O94" s="840"/>
      <c r="R94" s="97"/>
      <c r="S94" s="97"/>
      <c r="T94" s="313"/>
      <c r="U94" s="313"/>
      <c r="V94" s="313"/>
    </row>
    <row r="95" spans="1:27" s="319" customFormat="1" ht="12.75" hidden="1" customHeight="1" outlineLevel="1">
      <c r="B95" s="935"/>
      <c r="C95" s="833"/>
      <c r="D95" s="517" t="s">
        <v>41</v>
      </c>
      <c r="E95" s="518"/>
      <c r="F95" s="839">
        <f>ROUND(F42*(1+0.3),-1)</f>
        <v>60</v>
      </c>
      <c r="G95" s="840"/>
      <c r="H95" s="839">
        <f>ROUND(H42*(1+0.3),-1)</f>
        <v>90</v>
      </c>
      <c r="I95" s="840"/>
      <c r="J95" s="839">
        <f>ROUND(J42*(1+0.3),-1)</f>
        <v>120</v>
      </c>
      <c r="K95" s="840"/>
      <c r="L95" s="839">
        <f>ROUND(L42*(1+0.3),-1)</f>
        <v>140</v>
      </c>
      <c r="M95" s="840"/>
      <c r="N95" s="839">
        <f>ROUND(N42*(1+0.3),-1)</f>
        <v>160</v>
      </c>
      <c r="O95" s="840"/>
      <c r="R95" s="97"/>
      <c r="S95" s="97"/>
      <c r="T95" s="313"/>
      <c r="U95" s="313"/>
      <c r="V95" s="313"/>
    </row>
    <row r="96" spans="1:27" s="319" customFormat="1" ht="12.75" hidden="1" customHeight="1" outlineLevel="1">
      <c r="B96" s="935"/>
      <c r="C96" s="833"/>
      <c r="D96" s="517" t="s">
        <v>189</v>
      </c>
      <c r="E96" s="518"/>
      <c r="F96" s="839">
        <f>ROUND(F71*(1+0.3),-1)</f>
        <v>60</v>
      </c>
      <c r="G96" s="840"/>
      <c r="H96" s="839">
        <f>ROUND(H71*(1+0.3),-1)</f>
        <v>90</v>
      </c>
      <c r="I96" s="840"/>
      <c r="J96" s="839">
        <f>ROUND(J71*(1+0.3),-1)</f>
        <v>120</v>
      </c>
      <c r="K96" s="840"/>
      <c r="L96" s="839">
        <f>ROUND(L71*(1+0.3),-1)</f>
        <v>140</v>
      </c>
      <c r="M96" s="840"/>
      <c r="N96" s="839">
        <f>ROUND(N71*(1+0.3),-1)</f>
        <v>160</v>
      </c>
      <c r="O96" s="840"/>
      <c r="R96" s="97"/>
      <c r="S96" s="97"/>
      <c r="T96" s="313"/>
      <c r="U96" s="313"/>
      <c r="V96" s="313"/>
    </row>
    <row r="97" spans="1:27" s="319" customFormat="1" ht="12.75" hidden="1" customHeight="1" outlineLevel="1">
      <c r="B97" s="935"/>
      <c r="C97" s="833"/>
      <c r="D97" s="517" t="s">
        <v>34</v>
      </c>
      <c r="E97" s="518"/>
      <c r="F97" s="839">
        <f>ROUND(F42*(1+0.3),-1)</f>
        <v>60</v>
      </c>
      <c r="G97" s="840"/>
      <c r="H97" s="839">
        <f>ROUND(H42*(1+0.3),-1)</f>
        <v>90</v>
      </c>
      <c r="I97" s="840"/>
      <c r="J97" s="839">
        <f>ROUND(J42*(1+0.3),-1)</f>
        <v>120</v>
      </c>
      <c r="K97" s="840"/>
      <c r="L97" s="839">
        <f>ROUND(L42*(1+0.3),-1)</f>
        <v>140</v>
      </c>
      <c r="M97" s="840"/>
      <c r="N97" s="839">
        <f>ROUND(N42*(1+0.3),-1)</f>
        <v>160</v>
      </c>
      <c r="O97" s="840"/>
      <c r="R97" s="97"/>
      <c r="S97" s="97"/>
      <c r="T97" s="313"/>
      <c r="U97" s="313"/>
      <c r="V97" s="313"/>
    </row>
    <row r="98" spans="1:27" s="319" customFormat="1" ht="12.75" hidden="1" customHeight="1" outlineLevel="1">
      <c r="B98" s="935"/>
      <c r="C98" s="833"/>
      <c r="D98" s="517" t="s">
        <v>37</v>
      </c>
      <c r="E98" s="518"/>
      <c r="F98" s="839">
        <f>ROUND(F71*(1+0.3),-1)</f>
        <v>60</v>
      </c>
      <c r="G98" s="840"/>
      <c r="H98" s="839">
        <f>ROUND(H71*(1+0.3),-1)</f>
        <v>90</v>
      </c>
      <c r="I98" s="840"/>
      <c r="J98" s="839">
        <f>ROUND(J71*(1+0.3),-1)</f>
        <v>120</v>
      </c>
      <c r="K98" s="840"/>
      <c r="L98" s="839">
        <f>ROUND(L71*(1+0.3),-1)</f>
        <v>140</v>
      </c>
      <c r="M98" s="840"/>
      <c r="N98" s="839">
        <f>ROUND(N71*(1+0.3),-1)</f>
        <v>160</v>
      </c>
      <c r="O98" s="840"/>
      <c r="R98" s="97"/>
      <c r="S98" s="97"/>
      <c r="T98" s="313"/>
      <c r="U98" s="313"/>
      <c r="V98" s="313"/>
    </row>
    <row r="99" spans="1:27" s="319" customFormat="1" ht="12.75" hidden="1" customHeight="1" outlineLevel="1">
      <c r="B99" s="935"/>
      <c r="C99" s="833"/>
      <c r="D99" s="517" t="s">
        <v>35</v>
      </c>
      <c r="E99" s="518"/>
      <c r="F99" s="839">
        <f>ROUND(F71*(1+0.3),-1)</f>
        <v>60</v>
      </c>
      <c r="G99" s="840"/>
      <c r="H99" s="839">
        <f>ROUND(H71*(1+0.3),-1)</f>
        <v>90</v>
      </c>
      <c r="I99" s="840"/>
      <c r="J99" s="839">
        <f>ROUND(J71*(1+0.3),-1)</f>
        <v>120</v>
      </c>
      <c r="K99" s="840"/>
      <c r="L99" s="839">
        <f>ROUND(L71*(1+0.3),-1)</f>
        <v>140</v>
      </c>
      <c r="M99" s="840"/>
      <c r="N99" s="839">
        <f>ROUND(N71*(1+0.3),-1)</f>
        <v>160</v>
      </c>
      <c r="O99" s="840"/>
      <c r="R99" s="97"/>
      <c r="S99" s="97"/>
      <c r="T99" s="313"/>
      <c r="U99" s="313"/>
      <c r="V99" s="313"/>
    </row>
    <row r="100" spans="1:27" s="319" customFormat="1" ht="12.75" hidden="1" customHeight="1" outlineLevel="1">
      <c r="B100" s="935"/>
      <c r="C100" s="833"/>
      <c r="D100" s="517" t="s">
        <v>36</v>
      </c>
      <c r="E100" s="518"/>
      <c r="F100" s="839">
        <f>ROUND(F71*(1+0.3),-1)</f>
        <v>60</v>
      </c>
      <c r="G100" s="840"/>
      <c r="H100" s="839">
        <f>ROUND(H71*(1+0.3),-1)</f>
        <v>90</v>
      </c>
      <c r="I100" s="840"/>
      <c r="J100" s="839">
        <f>ROUND(J71*(1+0.3),-1)</f>
        <v>120</v>
      </c>
      <c r="K100" s="840"/>
      <c r="L100" s="839">
        <f>ROUND(L71*(1+0.3),-1)</f>
        <v>140</v>
      </c>
      <c r="M100" s="840"/>
      <c r="N100" s="839">
        <f>ROUND(N71*(1+0.3),-1)</f>
        <v>160</v>
      </c>
      <c r="O100" s="840"/>
      <c r="R100" s="97"/>
      <c r="S100" s="97"/>
      <c r="T100" s="313"/>
      <c r="U100" s="313"/>
      <c r="V100" s="313"/>
    </row>
    <row r="101" spans="1:27" s="319" customFormat="1" ht="12.75" hidden="1" customHeight="1" outlineLevel="1">
      <c r="B101" s="935"/>
      <c r="C101" s="833"/>
      <c r="D101" s="517" t="s">
        <v>191</v>
      </c>
      <c r="E101" s="518"/>
      <c r="F101" s="839">
        <f>ROUND(F71*(1+0.3),-1)</f>
        <v>60</v>
      </c>
      <c r="G101" s="840"/>
      <c r="H101" s="839">
        <f>ROUND(H71*(1+0.3),-1)</f>
        <v>90</v>
      </c>
      <c r="I101" s="840"/>
      <c r="J101" s="839">
        <f>ROUND(J71*(1+0.3),-1)</f>
        <v>120</v>
      </c>
      <c r="K101" s="840"/>
      <c r="L101" s="839">
        <f>ROUND(L71*(1+0.3),-1)</f>
        <v>140</v>
      </c>
      <c r="M101" s="840"/>
      <c r="N101" s="839">
        <f>ROUND(N71*(1+0.3),-1)</f>
        <v>160</v>
      </c>
      <c r="O101" s="840"/>
      <c r="R101" s="97"/>
      <c r="S101" s="97"/>
      <c r="T101" s="313"/>
      <c r="U101" s="313"/>
      <c r="V101" s="313"/>
    </row>
    <row r="102" spans="1:27" s="319" customFormat="1" ht="12.75" hidden="1" customHeight="1" outlineLevel="1">
      <c r="B102" s="935"/>
      <c r="C102" s="833"/>
      <c r="D102" s="517" t="s">
        <v>174</v>
      </c>
      <c r="E102" s="518"/>
      <c r="F102" s="839">
        <f>ROUND(F81*(1+0.3),-1)</f>
        <v>60</v>
      </c>
      <c r="G102" s="840"/>
      <c r="H102" s="839">
        <f>ROUND(H81*(1+0.3),-1)</f>
        <v>90</v>
      </c>
      <c r="I102" s="840"/>
      <c r="J102" s="839">
        <f>ROUND(J81*(1+0.3),-1)</f>
        <v>120</v>
      </c>
      <c r="K102" s="840"/>
      <c r="L102" s="839">
        <f>ROUND(L81*(1+0.3),-1)</f>
        <v>140</v>
      </c>
      <c r="M102" s="840"/>
      <c r="N102" s="839" t="e">
        <f>ROUND(N81*(1+0.3),-1)</f>
        <v>#VALUE!</v>
      </c>
      <c r="O102" s="840"/>
      <c r="R102" s="97"/>
      <c r="S102" s="97"/>
      <c r="T102" s="313"/>
      <c r="U102" s="313"/>
      <c r="V102" s="313"/>
    </row>
    <row r="103" spans="1:27" s="319" customFormat="1" ht="12.75" hidden="1" customHeight="1" outlineLevel="1">
      <c r="B103" s="935"/>
      <c r="C103" s="833"/>
      <c r="D103" s="517" t="s">
        <v>43</v>
      </c>
      <c r="E103" s="518"/>
      <c r="F103" s="839">
        <f>ROUND(F54*(1+0.3),-1)</f>
        <v>40</v>
      </c>
      <c r="G103" s="840"/>
      <c r="H103" s="839">
        <f>ROUND(H54*(1+0.3),-1)</f>
        <v>60</v>
      </c>
      <c r="I103" s="840"/>
      <c r="J103" s="839">
        <f>ROUND(J54*(1+0.3),-1)</f>
        <v>80</v>
      </c>
      <c r="K103" s="840"/>
      <c r="L103" s="839">
        <f>ROUND(L54*(1+0.3),-1)</f>
        <v>90</v>
      </c>
      <c r="M103" s="840"/>
      <c r="N103" s="839">
        <f>ROUND(N54*(1+0.3),-1)</f>
        <v>100</v>
      </c>
      <c r="O103" s="840"/>
      <c r="R103" s="97"/>
      <c r="S103" s="97"/>
      <c r="T103" s="313"/>
      <c r="U103" s="313"/>
      <c r="V103" s="313"/>
    </row>
    <row r="104" spans="1:27" s="319" customFormat="1" ht="12.75" hidden="1" customHeight="1" outlineLevel="1">
      <c r="B104" s="935"/>
      <c r="C104" s="833"/>
      <c r="D104" s="515" t="s">
        <v>192</v>
      </c>
      <c r="E104" s="516"/>
      <c r="F104" s="843">
        <f>ROUND(F71*(1+0.3),-1)</f>
        <v>60</v>
      </c>
      <c r="G104" s="844"/>
      <c r="H104" s="843">
        <f>ROUND(H71*(1+0.3),-1)</f>
        <v>90</v>
      </c>
      <c r="I104" s="844"/>
      <c r="J104" s="843">
        <f>ROUND(J71*(1+0.3),-1)</f>
        <v>120</v>
      </c>
      <c r="K104" s="844"/>
      <c r="L104" s="843">
        <f>ROUND(L71*(1+0.3),-1)</f>
        <v>140</v>
      </c>
      <c r="M104" s="844"/>
      <c r="N104" s="843">
        <f>ROUND(N71*(1+0.3),-1)</f>
        <v>160</v>
      </c>
      <c r="O104" s="844"/>
      <c r="R104" s="97"/>
      <c r="S104" s="97"/>
      <c r="T104" s="313"/>
      <c r="U104" s="313"/>
      <c r="V104" s="313"/>
    </row>
    <row r="105" spans="1:27" s="319" customFormat="1" ht="52.5" customHeight="1" collapsed="1">
      <c r="B105" s="935"/>
      <c r="C105" s="846"/>
      <c r="D105" s="680" t="str">
        <f>D93&amp;", "&amp;D94&amp;", "&amp;D95&amp;", "&amp;D96&amp;", "&amp;D97&amp;", "&amp;D98&amp;", "&amp;D99&amp;", "&amp;D100&amp;", "&amp;D101&amp;", "&amp;D102&amp;", "&amp;D103&amp;", "&amp;D104</f>
        <v>WP SportoweFakty, WP Facet, WP Moto, WP Tech, WP Autokult, WP Fotoblogia, WP Gadżetomania, WP Komórkomania, WP Gry, WP Pilot, WP Film, dobreprogramy.pl⁵</v>
      </c>
      <c r="E105" s="681"/>
      <c r="F105" s="847">
        <v>45</v>
      </c>
      <c r="G105" s="848"/>
      <c r="H105" s="847">
        <v>68</v>
      </c>
      <c r="I105" s="848"/>
      <c r="J105" s="847">
        <v>90</v>
      </c>
      <c r="K105" s="848"/>
      <c r="L105" s="870">
        <v>106</v>
      </c>
      <c r="M105" s="871"/>
      <c r="N105" s="870">
        <v>120</v>
      </c>
      <c r="O105" s="871"/>
      <c r="R105" s="97"/>
      <c r="S105" s="97"/>
      <c r="T105" s="313"/>
      <c r="U105" s="313"/>
      <c r="V105" s="313"/>
    </row>
    <row r="106" spans="1:27" ht="36" customHeight="1">
      <c r="A106" s="319"/>
      <c r="B106" s="935"/>
      <c r="C106" s="565" t="str">
        <f>IF('Język - Language'!$B$30="Polski","PAKIET SPECJALNY","DEDICATED PACKAGE")</f>
        <v>PAKIET SPECJALNY</v>
      </c>
      <c r="D106" s="680" t="str">
        <f>IF('Język - Language'!$B$30="Polski","Min. 4 wybrane serwisy - BEZ SERWISÓW KATEGORII BIZNES oraz ZDROWIE I PRENTING","Min. 4 selected sites - EXCLUDING BUSINESS, HEALTH AND PARENTING SITES")</f>
        <v>Min. 4 wybrane serwisy - BEZ SERWISÓW KATEGORII BIZNES oraz ZDROWIE I PRENTING</v>
      </c>
      <c r="E106" s="681"/>
      <c r="F106" s="866">
        <v>67</v>
      </c>
      <c r="G106" s="867"/>
      <c r="H106" s="866">
        <v>86</v>
      </c>
      <c r="I106" s="867"/>
      <c r="J106" s="866">
        <v>114</v>
      </c>
      <c r="K106" s="867"/>
      <c r="L106" s="866">
        <v>135</v>
      </c>
      <c r="M106" s="867"/>
      <c r="N106" s="866">
        <v>150</v>
      </c>
      <c r="O106" s="867"/>
      <c r="P106" s="313"/>
      <c r="Q106" s="313"/>
      <c r="R106" s="25"/>
      <c r="S106" s="25"/>
      <c r="T106" s="16"/>
      <c r="U106" s="25"/>
      <c r="V106" s="25"/>
      <c r="W106" s="313"/>
      <c r="X106" s="313"/>
      <c r="Y106" s="313"/>
      <c r="Z106" s="313"/>
      <c r="AA106" s="313"/>
    </row>
    <row r="107" spans="1:27">
      <c r="A107" s="319"/>
      <c r="B107" s="566"/>
      <c r="C107" s="323"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07" s="103"/>
      <c r="E107" s="105"/>
      <c r="F107" s="103"/>
      <c r="G107" s="103"/>
      <c r="H107" s="103"/>
      <c r="I107" s="104"/>
      <c r="J107" s="319"/>
      <c r="K107" s="319"/>
      <c r="L107" s="319"/>
      <c r="M107" s="319"/>
      <c r="N107" s="319"/>
      <c r="O107" s="319"/>
      <c r="P107" s="319"/>
      <c r="Q107" s="319"/>
      <c r="R107" s="319"/>
      <c r="S107" s="319"/>
      <c r="T107" s="319"/>
      <c r="U107" s="319"/>
      <c r="V107" s="319"/>
      <c r="W107" s="319"/>
      <c r="X107" s="319"/>
      <c r="Y107" s="319"/>
      <c r="Z107" s="319"/>
      <c r="AA107" s="319"/>
    </row>
    <row r="108" spans="1:27">
      <c r="A108" s="319"/>
      <c r="B108" s="319"/>
      <c r="C108" s="324" t="str">
        <f>IF('Język - Language'!$B$30="Polski","² Na SG O2 możliwość emisji wybranych formatów reklamowych (bez Halfpage).","² in case of o2 only selected advertising formats are applicable (without Halfpage)")</f>
        <v>² Na SG O2 możliwość emisji wybranych formatów reklamowych (bez Halfpage).</v>
      </c>
      <c r="D108" s="66"/>
      <c r="E108" s="48"/>
      <c r="F108" s="319"/>
      <c r="G108" s="319"/>
      <c r="H108" s="359"/>
      <c r="I108" s="319"/>
      <c r="J108" s="319"/>
      <c r="K108" s="319"/>
      <c r="L108" s="319"/>
      <c r="M108" s="319"/>
      <c r="N108" s="319"/>
      <c r="O108" s="319"/>
      <c r="P108" s="319"/>
      <c r="Q108" s="319"/>
      <c r="R108" s="319"/>
      <c r="S108" s="319"/>
      <c r="T108" s="319"/>
      <c r="U108" s="319"/>
      <c r="V108" s="319"/>
      <c r="W108" s="319"/>
      <c r="X108" s="319"/>
      <c r="Y108" s="319"/>
      <c r="Z108" s="319"/>
      <c r="AA108" s="319"/>
    </row>
    <row r="109" spans="1:27" s="263" customFormat="1">
      <c r="A109" s="319"/>
      <c r="B109" s="319"/>
      <c r="C109" s="324" t="str">
        <f>IF('Język - Language'!$B$30="Polski","³ Format dostępny na wybranych serwisach.","³ Available only in selected sites.")</f>
        <v>³ Format dostępny na wybranych serwisach.</v>
      </c>
      <c r="D109" s="66"/>
      <c r="E109" s="48"/>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row>
    <row r="110" spans="1:27" s="263" customFormat="1">
      <c r="A110" s="319"/>
      <c r="B110" s="319"/>
      <c r="C110" s="310" t="str">
        <f>IF('Język - Language'!$B$30="Polski","⁴ +100% do ceny wybranej kategorii w przypadku serwisu Pudelek.pl.","⁴ +100% extra charge to the price of the selected category in case of site Pudelek.pl.")</f>
        <v>⁴ +100% do ceny wybranej kategorii w przypadku serwisu Pudelek.pl.</v>
      </c>
      <c r="D110" s="66"/>
      <c r="E110" s="48"/>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row>
    <row r="111" spans="1:27" s="319" customFormat="1">
      <c r="C111" s="310" t="str">
        <f>IF('Język - Language'!$B$30="Polski","⁵ Screening na dobreprogramy.pl sprzedawany wyłącznie poza pakietem.","⁵ Screening on site dobreprogramy.pl is only available outside the package.")</f>
        <v>⁵ Screening na dobreprogramy.pl sprzedawany wyłącznie poza pakietem.</v>
      </c>
      <c r="D111" s="66"/>
      <c r="E111" s="48"/>
    </row>
    <row r="112" spans="1:27" s="319" customFormat="1">
      <c r="C112" s="310"/>
      <c r="D112" s="66"/>
      <c r="E112" s="48"/>
    </row>
    <row r="113" spans="2:6" s="319" customFormat="1">
      <c r="C113" s="310"/>
      <c r="D113" s="66"/>
      <c r="E113" s="48"/>
    </row>
    <row r="114" spans="2:6" s="319" customFormat="1">
      <c r="C114" s="217" t="str">
        <f>IF('Język - Language'!$B$30="Polski","STANDARDOWE FORMATY REKLAMOWE","STANDARD AD FORMATS")</f>
        <v>STANDARDOWE FORMATY REKLAMOWE</v>
      </c>
      <c r="D114" s="66"/>
      <c r="E114" s="48"/>
    </row>
    <row r="115" spans="2:6" s="319" customFormat="1" ht="25.5" customHeight="1">
      <c r="C115" s="874" t="str">
        <f>IF('Język - Language'!$B$30="Polski","MIEJSCE EMISJI","PLACE OF EMISSION")</f>
        <v>MIEJSCE EMISJI</v>
      </c>
      <c r="D115" s="469" t="str">
        <f>IF('Język - Language'!$B$30="Polski","MODEL EMISJI","MODEL OF EMISSION")</f>
        <v>MODEL EMISJI</v>
      </c>
      <c r="E115" s="879" t="s">
        <v>127</v>
      </c>
      <c r="F115" s="880"/>
    </row>
    <row r="116" spans="2:6" s="319" customFormat="1" ht="25.5" customHeight="1">
      <c r="C116" s="874"/>
      <c r="D116" s="875" t="str">
        <f>IF('Język - Language'!$B$30="Polski","rozliczenie za widzialne odsłony wg standardu IAB¹","settlement for visible ad views according to the IAB standard¹")</f>
        <v>rozliczenie za widzialne odsłony wg standardu IAB¹</v>
      </c>
      <c r="E116" s="875"/>
      <c r="F116" s="876"/>
    </row>
    <row r="117" spans="2:6" s="319" customFormat="1" ht="12.75" customHeight="1">
      <c r="C117" s="874"/>
      <c r="D117" s="462"/>
      <c r="E117" s="875" t="s">
        <v>129</v>
      </c>
      <c r="F117" s="876"/>
    </row>
    <row r="118" spans="2:6" s="319" customFormat="1" ht="25.5" customHeight="1">
      <c r="B118" s="193"/>
      <c r="C118" s="463" t="s">
        <v>34</v>
      </c>
      <c r="D118" s="901" t="s">
        <v>128</v>
      </c>
      <c r="E118" s="881">
        <v>155</v>
      </c>
      <c r="F118" s="882"/>
    </row>
    <row r="119" spans="2:6" s="319" customFormat="1" ht="25.5" customHeight="1">
      <c r="B119" s="193"/>
      <c r="C119" s="464" t="s">
        <v>48</v>
      </c>
      <c r="D119" s="901"/>
      <c r="E119" s="877">
        <v>155</v>
      </c>
      <c r="F119" s="878"/>
    </row>
    <row r="120" spans="2:6" s="319" customFormat="1" ht="25.5" customHeight="1">
      <c r="B120" s="193"/>
      <c r="C120" s="464" t="s">
        <v>43</v>
      </c>
      <c r="D120" s="901"/>
      <c r="E120" s="877">
        <v>120</v>
      </c>
      <c r="F120" s="878"/>
    </row>
    <row r="121" spans="2:6" s="319" customFormat="1" ht="25.5" customHeight="1">
      <c r="B121" s="193"/>
      <c r="C121" s="464" t="s">
        <v>67</v>
      </c>
      <c r="D121" s="901"/>
      <c r="E121" s="877">
        <v>120</v>
      </c>
      <c r="F121" s="878"/>
    </row>
    <row r="122" spans="2:6" s="319" customFormat="1" ht="25.5" customHeight="1">
      <c r="B122" s="193"/>
      <c r="C122" s="464" t="s">
        <v>45</v>
      </c>
      <c r="D122" s="901"/>
      <c r="E122" s="877">
        <v>155</v>
      </c>
      <c r="F122" s="878"/>
    </row>
    <row r="123" spans="2:6" s="319" customFormat="1" ht="25.5" customHeight="1">
      <c r="B123" s="193"/>
      <c r="C123" s="464" t="s">
        <v>41</v>
      </c>
      <c r="D123" s="901"/>
      <c r="E123" s="877">
        <v>155</v>
      </c>
      <c r="F123" s="878"/>
    </row>
    <row r="124" spans="2:6" s="319" customFormat="1" ht="25.5" customHeight="1">
      <c r="B124" s="193"/>
      <c r="C124" s="464" t="s">
        <v>125</v>
      </c>
      <c r="D124" s="901"/>
      <c r="E124" s="877">
        <v>270</v>
      </c>
      <c r="F124" s="878"/>
    </row>
    <row r="125" spans="2:6" s="319" customFormat="1" ht="25.5" customHeight="1">
      <c r="B125" s="193"/>
      <c r="C125" s="464" t="s">
        <v>126</v>
      </c>
      <c r="D125" s="901"/>
      <c r="E125" s="877">
        <v>195</v>
      </c>
      <c r="F125" s="878"/>
    </row>
    <row r="126" spans="2:6" s="319" customFormat="1" ht="25.5" customHeight="1">
      <c r="B126" s="193"/>
      <c r="C126" s="464" t="s">
        <v>56</v>
      </c>
      <c r="D126" s="901"/>
      <c r="E126" s="877">
        <v>120</v>
      </c>
      <c r="F126" s="878"/>
    </row>
    <row r="127" spans="2:6" s="319" customFormat="1" ht="25.5" customHeight="1">
      <c r="B127" s="193"/>
      <c r="C127" s="464" t="s">
        <v>25</v>
      </c>
      <c r="D127" s="901"/>
      <c r="E127" s="877">
        <v>195</v>
      </c>
      <c r="F127" s="878"/>
    </row>
    <row r="128" spans="2:6" s="319" customFormat="1" ht="25.5" customHeight="1">
      <c r="B128" s="193"/>
      <c r="C128" s="464" t="s">
        <v>44</v>
      </c>
      <c r="D128" s="901"/>
      <c r="E128" s="877">
        <v>155</v>
      </c>
      <c r="F128" s="878"/>
    </row>
    <row r="129" spans="1:27" s="319" customFormat="1" ht="25.5" customHeight="1">
      <c r="B129" s="193"/>
      <c r="C129" s="465" t="s">
        <v>40</v>
      </c>
      <c r="D129" s="902"/>
      <c r="E129" s="883">
        <v>195</v>
      </c>
      <c r="F129" s="884"/>
    </row>
    <row r="130" spans="1:27" s="99" customFormat="1" ht="12.75" customHeight="1">
      <c r="A130" s="319"/>
      <c r="B130" s="313"/>
      <c r="C130" s="323"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30" s="137"/>
      <c r="E130" s="22"/>
      <c r="F130" s="22"/>
      <c r="G130" s="22"/>
      <c r="H130" s="22"/>
      <c r="I130" s="22"/>
      <c r="J130" s="23"/>
      <c r="K130" s="23"/>
      <c r="L130" s="23"/>
      <c r="M130" s="23"/>
      <c r="N130" s="319"/>
      <c r="O130" s="319"/>
      <c r="P130" s="319"/>
      <c r="Q130" s="319"/>
      <c r="R130" s="319"/>
      <c r="S130" s="319"/>
      <c r="T130" s="319"/>
      <c r="U130" s="319"/>
      <c r="V130" s="319"/>
      <c r="W130" s="319"/>
      <c r="X130" s="319"/>
      <c r="Y130" s="319"/>
      <c r="Z130" s="319"/>
      <c r="AA130" s="319"/>
    </row>
    <row r="131" spans="1:27" s="319" customFormat="1" ht="12.75" customHeight="1">
      <c r="B131" s="313"/>
      <c r="C131" s="323"/>
      <c r="D131" s="137"/>
      <c r="E131" s="22"/>
      <c r="F131" s="22"/>
      <c r="G131" s="22"/>
      <c r="H131" s="22"/>
      <c r="I131" s="22"/>
      <c r="J131" s="23"/>
      <c r="K131" s="23"/>
      <c r="L131" s="23"/>
      <c r="M131" s="23"/>
    </row>
    <row r="132" spans="1:27">
      <c r="C132" s="364" t="s">
        <v>132</v>
      </c>
    </row>
    <row r="133" spans="1:27" ht="12.75" customHeight="1">
      <c r="A133" s="319"/>
      <c r="B133" s="24"/>
      <c r="C133" s="856" t="s">
        <v>133</v>
      </c>
      <c r="D133" s="626" t="str">
        <f>IF('Język - Language'!$B$30="Polski","ARTYKUŁ SPONSOROWANY Z GWARANCJĄ","ADVERTORIAL WITH A GUARANTEE")</f>
        <v>ARTYKUŁ SPONSOROWANY Z GWARANCJĄ</v>
      </c>
      <c r="E133" s="626"/>
      <c r="F133" s="626" t="str">
        <f>IF('Język - Language'!$B$30="Polski","ARTYKUŁ SPONSOROWANY","ADVERTORIAL")</f>
        <v>ARTYKUŁ SPONSOROWANY</v>
      </c>
      <c r="G133" s="626"/>
      <c r="H133" s="626"/>
      <c r="I133" s="626"/>
      <c r="J133" s="894" t="str">
        <f>IF('Język - Language'!$B$30="Polski","ARTYKUŁ SPONSOROWANY LOKALNY","LOCAL ADVERTORIAL")</f>
        <v>ARTYKUŁ SPONSOROWANY LOKALNY</v>
      </c>
      <c r="K133" s="894"/>
      <c r="L133" s="894"/>
      <c r="M133" s="895"/>
      <c r="N133" s="319"/>
      <c r="O133" s="319"/>
      <c r="P133" s="319"/>
      <c r="Q133" s="319"/>
      <c r="R133" s="319"/>
      <c r="S133" s="319"/>
      <c r="T133" s="319"/>
      <c r="U133" s="319"/>
      <c r="V133" s="319"/>
      <c r="W133" s="319"/>
      <c r="X133" s="319"/>
      <c r="Y133" s="319"/>
      <c r="Z133" s="319"/>
      <c r="AA133" s="319"/>
    </row>
    <row r="134" spans="1:27" ht="12.75" customHeight="1">
      <c r="A134" s="319"/>
      <c r="B134" s="24"/>
      <c r="C134" s="856"/>
      <c r="D134" s="626"/>
      <c r="E134" s="626"/>
      <c r="F134" s="626"/>
      <c r="G134" s="626"/>
      <c r="H134" s="626"/>
      <c r="I134" s="626"/>
      <c r="J134" s="894"/>
      <c r="K134" s="894"/>
      <c r="L134" s="894"/>
      <c r="M134" s="895"/>
      <c r="N134" s="319"/>
      <c r="O134" s="319"/>
      <c r="P134" s="319"/>
      <c r="Q134" s="319"/>
      <c r="R134" s="319"/>
      <c r="S134" s="319"/>
      <c r="T134" s="319"/>
      <c r="U134" s="319"/>
      <c r="V134" s="319"/>
      <c r="W134" s="319"/>
      <c r="X134" s="319"/>
      <c r="Y134" s="319"/>
      <c r="Z134" s="319"/>
      <c r="AA134" s="319"/>
    </row>
    <row r="135" spans="1:27" s="319" customFormat="1" ht="12.75" customHeight="1">
      <c r="B135" s="313"/>
      <c r="C135" s="856"/>
      <c r="D135" s="626" t="str">
        <f>IF('Język - Language'!$B$30="Polski","Flat Fee 7 dni / net net","Flat Fee 7 days / net net")</f>
        <v>Flat Fee 7 dni / net net</v>
      </c>
      <c r="E135" s="626"/>
      <c r="F135" s="626" t="str">
        <f>IF('Język - Language'!$B$30="Polski","Flat Fee 7 dni / net net","Flat Fee 7 days / net net")</f>
        <v>Flat Fee 7 dni / net net</v>
      </c>
      <c r="G135" s="626"/>
      <c r="H135" s="626"/>
      <c r="I135" s="626"/>
      <c r="J135" s="894" t="str">
        <f>IF('Język - Language'!$B$30="Polski","Flat Fee 7 dni / net net","Flat Fee 7 days / net net")</f>
        <v>Flat Fee 7 dni / net net</v>
      </c>
      <c r="K135" s="894"/>
      <c r="L135" s="894"/>
      <c r="M135" s="895"/>
    </row>
    <row r="136" spans="1:27" ht="25.5" customHeight="1">
      <c r="A136" s="319"/>
      <c r="B136" s="897" t="str">
        <f>IF('Język - Language'!$B$30="Polski","FLAT FEE","FLAT FEE")</f>
        <v>FLAT FEE</v>
      </c>
      <c r="C136" s="384" t="s">
        <v>134</v>
      </c>
      <c r="D136" s="913" t="s">
        <v>141</v>
      </c>
      <c r="E136" s="904"/>
      <c r="F136" s="885" t="s">
        <v>140</v>
      </c>
      <c r="G136" s="886"/>
      <c r="H136" s="886"/>
      <c r="I136" s="887"/>
      <c r="J136" s="917" t="str">
        <f>IF('Język - Language'!$B$30="Polski","nd","n/a")</f>
        <v>nd</v>
      </c>
      <c r="K136" s="918"/>
      <c r="L136" s="918"/>
      <c r="M136" s="919"/>
      <c r="N136" s="319"/>
      <c r="O136" s="319"/>
      <c r="P136" s="319"/>
      <c r="Q136" s="319"/>
      <c r="R136" s="319"/>
      <c r="S136" s="319"/>
      <c r="T136" s="319"/>
      <c r="U136" s="319"/>
      <c r="V136" s="319"/>
      <c r="W136" s="319"/>
      <c r="X136" s="319"/>
      <c r="Y136" s="319"/>
      <c r="Z136" s="319"/>
      <c r="AA136" s="319"/>
    </row>
    <row r="137" spans="1:27" ht="25.5" customHeight="1">
      <c r="A137" s="319"/>
      <c r="B137" s="897"/>
      <c r="C137" s="455" t="s">
        <v>135</v>
      </c>
      <c r="D137" s="913" t="s">
        <v>142</v>
      </c>
      <c r="E137" s="904"/>
      <c r="F137" s="885"/>
      <c r="G137" s="886"/>
      <c r="H137" s="886"/>
      <c r="I137" s="887"/>
      <c r="J137" s="917"/>
      <c r="K137" s="918"/>
      <c r="L137" s="918"/>
      <c r="M137" s="919"/>
    </row>
    <row r="138" spans="1:27" ht="25.5" customHeight="1">
      <c r="A138" s="319"/>
      <c r="B138" s="897"/>
      <c r="C138" s="455" t="s">
        <v>136</v>
      </c>
      <c r="D138" s="913" t="s">
        <v>143</v>
      </c>
      <c r="E138" s="904"/>
      <c r="F138" s="885"/>
      <c r="G138" s="886"/>
      <c r="H138" s="886"/>
      <c r="I138" s="887"/>
      <c r="J138" s="917"/>
      <c r="K138" s="918"/>
      <c r="L138" s="918"/>
      <c r="M138" s="919"/>
    </row>
    <row r="139" spans="1:27" ht="25.5" customHeight="1">
      <c r="A139" s="319"/>
      <c r="B139" s="897"/>
      <c r="C139" s="215" t="s">
        <v>137</v>
      </c>
      <c r="D139" s="913" t="s">
        <v>144</v>
      </c>
      <c r="E139" s="904"/>
      <c r="F139" s="885"/>
      <c r="G139" s="886"/>
      <c r="H139" s="886"/>
      <c r="I139" s="887"/>
      <c r="J139" s="917"/>
      <c r="K139" s="918"/>
      <c r="L139" s="918"/>
      <c r="M139" s="919"/>
    </row>
    <row r="140" spans="1:27" s="319" customFormat="1" ht="25.5" customHeight="1">
      <c r="B140" s="898"/>
      <c r="C140" s="216" t="s">
        <v>138</v>
      </c>
      <c r="D140" s="888" t="str">
        <f>IF('Język - Language'!$B$30="Polski","nd","n/a")</f>
        <v>nd</v>
      </c>
      <c r="E140" s="889"/>
      <c r="F140" s="888" t="s">
        <v>139</v>
      </c>
      <c r="G140" s="890"/>
      <c r="H140" s="890"/>
      <c r="I140" s="889"/>
      <c r="J140" s="891">
        <v>2000</v>
      </c>
      <c r="K140" s="892"/>
      <c r="L140" s="892"/>
      <c r="M140" s="893"/>
    </row>
    <row r="141" spans="1:27" s="319" customFormat="1" ht="12.75" customHeight="1">
      <c r="B141" s="313"/>
      <c r="C141" s="219"/>
      <c r="D141" s="460"/>
      <c r="E141" s="460"/>
      <c r="F141" s="227"/>
      <c r="G141" s="227"/>
      <c r="H141" s="226"/>
      <c r="I141" s="226"/>
      <c r="J141" s="226"/>
      <c r="L141" s="459"/>
    </row>
    <row r="142" spans="1:27" s="319" customFormat="1" ht="12.75" customHeight="1">
      <c r="B142" s="313"/>
      <c r="C142" s="219"/>
      <c r="D142" s="438"/>
      <c r="E142" s="438"/>
      <c r="F142" s="227"/>
      <c r="G142" s="227"/>
      <c r="H142" s="226"/>
      <c r="I142" s="226"/>
      <c r="J142" s="226"/>
      <c r="L142" s="440"/>
    </row>
    <row r="143" spans="1:27" s="130" customFormat="1" ht="12.75" customHeight="1">
      <c r="A143" s="319"/>
      <c r="B143" s="313"/>
      <c r="C143" s="217" t="str">
        <f>IF('Język - Language'!$B$30="Polski","ARTYKUŁ SPONSOROWANY LOKALNY - OPCJE DODATKOWE / DOPŁATY DO CENY PODSTAWOWEJ:","ADDITIONAL OPTIONS / EXTRA CHARGES TO BASIC PRICE:")</f>
        <v>ARTYKUŁ SPONSOROWANY LOKALNY - OPCJE DODATKOWE / DOPŁATY DO CENY PODSTAWOWEJ:</v>
      </c>
      <c r="D143" s="415"/>
      <c r="E143" s="415"/>
      <c r="F143" s="227"/>
      <c r="G143" s="227"/>
      <c r="H143" s="226"/>
      <c r="I143" s="226"/>
      <c r="J143" s="226"/>
      <c r="K143" s="319"/>
      <c r="L143" s="413"/>
      <c r="M143" s="319"/>
    </row>
    <row r="144" spans="1:27" s="130" customFormat="1" ht="25.5" customHeight="1">
      <c r="A144" s="319"/>
      <c r="B144" s="24"/>
      <c r="C144" s="929" t="str">
        <f>IF('Język - Language'!$B$30="Polski","WOJEWÓDZTWO","PROVINCE")</f>
        <v>WOJEWÓDZTWO</v>
      </c>
      <c r="D144" s="896" t="str">
        <f>IF('Język - Language'!$B$30="Polski","GEOTARGETOWANY LINK TEKSTOWY NA SG WP¹","TEXTUAL LINK WITH GEOTARGETING IN THE WP HP¹")</f>
        <v>GEOTARGETOWANY LINK TEKSTOWY NA SG WP¹</v>
      </c>
      <c r="E144" s="896"/>
      <c r="F144" s="626" t="str">
        <f>IF('Język - Language'!$B$30="Polski","GEOBOX NA SG WP¹","GEOBOX IN THE WP HP¹")</f>
        <v>GEOBOX NA SG WP¹</v>
      </c>
      <c r="G144" s="626"/>
      <c r="H144" s="626"/>
      <c r="I144" s="639"/>
      <c r="J144" s="226"/>
      <c r="K144" s="226"/>
      <c r="L144" s="226"/>
      <c r="M144" s="319"/>
      <c r="N144" s="413"/>
    </row>
    <row r="145" spans="1:14" s="130" customFormat="1" ht="24.75" customHeight="1">
      <c r="A145" s="319"/>
      <c r="B145" s="313"/>
      <c r="C145" s="856"/>
      <c r="D145" s="467" t="str">
        <f>IF('Język - Language'!$B$30="Polski","MODUŁ WIADOMOŚCI","CATEGORY NEWS")</f>
        <v>MODUŁ WIADOMOŚCI</v>
      </c>
      <c r="E145" s="409" t="str">
        <f>IF('Język - Language'!$B$30="Polski","MODUŁ SPORT","CATEGORY SPORT")</f>
        <v>MODUŁ SPORT</v>
      </c>
      <c r="F145" s="896" t="str">
        <f>IF('Język - Language'!$B$30="Polski","MODUŁ GWIAZDY","CATEGORY STARS")</f>
        <v>MODUŁ GWIAZDY</v>
      </c>
      <c r="G145" s="896"/>
      <c r="H145" s="829" t="str">
        <f>IF('Język - Language'!$B$30="Polski","MODUŁ  MOTO, TECH, STYL ŻYCIA","CATEGORY AUTOMOTIVE, TECH, LIFESTYLE")</f>
        <v>MODUŁ  MOTO, TECH, STYL ŻYCIA</v>
      </c>
      <c r="I145" s="832"/>
      <c r="J145" s="226"/>
      <c r="K145" s="226"/>
      <c r="L145" s="226"/>
      <c r="M145" s="319"/>
      <c r="N145" s="413"/>
    </row>
    <row r="146" spans="1:14" s="319" customFormat="1" ht="12.75" customHeight="1">
      <c r="B146" s="313"/>
      <c r="C146" s="458"/>
      <c r="D146" s="829" t="str">
        <f>IF('Język - Language'!$B$30="Polski","Flat Fee 1 dzień / net net","Flat Fee 1 day / net net")</f>
        <v>Flat Fee 1 dzień / net net</v>
      </c>
      <c r="E146" s="829"/>
      <c r="F146" s="829" t="str">
        <f>IF('Język - Language'!$B$30="Polski","Flat Fee 7 dni / net net","Flat Fee 7 days / net net")</f>
        <v>Flat Fee 7 dni / net net</v>
      </c>
      <c r="G146" s="829"/>
      <c r="H146" s="829"/>
      <c r="I146" s="829"/>
      <c r="J146" s="226"/>
      <c r="K146" s="226"/>
      <c r="L146" s="226"/>
      <c r="N146" s="459"/>
    </row>
    <row r="147" spans="1:14" s="130" customFormat="1" ht="25.5" customHeight="1">
      <c r="A147" s="319"/>
      <c r="B147" s="897" t="s">
        <v>65</v>
      </c>
      <c r="C147" s="229" t="s">
        <v>68</v>
      </c>
      <c r="D147" s="476">
        <v>4500</v>
      </c>
      <c r="E147" s="230">
        <v>3500</v>
      </c>
      <c r="F147" s="913">
        <v>2500</v>
      </c>
      <c r="G147" s="903"/>
      <c r="H147" s="903">
        <v>1500</v>
      </c>
      <c r="I147" s="904"/>
      <c r="J147" s="226"/>
      <c r="K147" s="226"/>
      <c r="L147" s="226"/>
      <c r="M147" s="319"/>
      <c r="N147" s="413"/>
    </row>
    <row r="148" spans="1:14" s="130" customFormat="1" ht="38.25" customHeight="1">
      <c r="A148" s="319"/>
      <c r="B148" s="897"/>
      <c r="C148" s="483" t="s">
        <v>69</v>
      </c>
      <c r="D148" s="473">
        <v>2000</v>
      </c>
      <c r="E148" s="231">
        <v>1500</v>
      </c>
      <c r="F148" s="899">
        <v>1500</v>
      </c>
      <c r="G148" s="900"/>
      <c r="H148" s="900">
        <v>1000</v>
      </c>
      <c r="I148" s="914"/>
      <c r="J148" s="226"/>
      <c r="K148" s="226"/>
      <c r="L148" s="226"/>
      <c r="M148" s="319"/>
      <c r="N148" s="413"/>
    </row>
    <row r="149" spans="1:14" s="130" customFormat="1" ht="25.5" customHeight="1">
      <c r="A149" s="319"/>
      <c r="B149" s="897"/>
      <c r="C149" s="215" t="s">
        <v>70</v>
      </c>
      <c r="D149" s="473">
        <v>1500</v>
      </c>
      <c r="E149" s="231">
        <v>1300</v>
      </c>
      <c r="F149" s="899">
        <v>1000</v>
      </c>
      <c r="G149" s="900"/>
      <c r="H149" s="900">
        <v>700</v>
      </c>
      <c r="I149" s="914"/>
      <c r="J149" s="226"/>
      <c r="K149" s="226"/>
      <c r="L149" s="226"/>
      <c r="M149" s="319"/>
      <c r="N149" s="413"/>
    </row>
    <row r="150" spans="1:14" s="130" customFormat="1" ht="38.25" customHeight="1">
      <c r="A150" s="319"/>
      <c r="B150" s="897"/>
      <c r="C150" s="483" t="s">
        <v>71</v>
      </c>
      <c r="D150" s="473">
        <v>1000</v>
      </c>
      <c r="E150" s="231">
        <v>700</v>
      </c>
      <c r="F150" s="899">
        <v>1000</v>
      </c>
      <c r="G150" s="900"/>
      <c r="H150" s="900">
        <v>700</v>
      </c>
      <c r="I150" s="914"/>
      <c r="J150" s="226"/>
      <c r="K150" s="226"/>
      <c r="L150" s="226"/>
      <c r="M150" s="319"/>
      <c r="N150" s="413"/>
    </row>
    <row r="151" spans="1:14" s="130" customFormat="1" ht="38.25" customHeight="1">
      <c r="A151" s="319"/>
      <c r="B151" s="897"/>
      <c r="C151" s="484" t="s">
        <v>72</v>
      </c>
      <c r="D151" s="475">
        <v>700</v>
      </c>
      <c r="E151" s="232">
        <v>500</v>
      </c>
      <c r="F151" s="888">
        <v>500</v>
      </c>
      <c r="G151" s="890"/>
      <c r="H151" s="915">
        <v>500</v>
      </c>
      <c r="I151" s="916"/>
      <c r="J151" s="226"/>
      <c r="K151" s="226"/>
      <c r="L151" s="226"/>
      <c r="M151" s="319"/>
      <c r="N151" s="413"/>
    </row>
    <row r="152" spans="1:14" s="130" customFormat="1">
      <c r="A152" s="319"/>
      <c r="B152" s="319"/>
      <c r="C152" s="219" t="str">
        <f>IF('Język - Language'!$B$30="Polski","¹ wycena net-net, ceny dla 1 województwa","¹ net-net valuation, prices for 1 province")</f>
        <v>¹ wycena net-net, ceny dla 1 województwa</v>
      </c>
      <c r="D152" s="219"/>
      <c r="E152" s="425"/>
      <c r="F152" s="425"/>
      <c r="G152" s="425"/>
      <c r="H152" s="425"/>
      <c r="I152" s="425"/>
      <c r="J152" s="359"/>
      <c r="K152" s="319"/>
      <c r="L152" s="319"/>
      <c r="M152" s="413"/>
    </row>
    <row r="153" spans="1:14" s="319" customFormat="1">
      <c r="C153" s="219"/>
      <c r="D153" s="219"/>
      <c r="E153" s="461"/>
      <c r="F153" s="461"/>
      <c r="G153" s="461"/>
      <c r="H153" s="461"/>
      <c r="I153" s="461"/>
      <c r="J153" s="359"/>
      <c r="M153" s="459"/>
    </row>
    <row r="154" spans="1:14" s="319" customFormat="1" ht="12.75" customHeight="1">
      <c r="B154" s="313"/>
      <c r="C154" s="480" t="s">
        <v>145</v>
      </c>
      <c r="D154" s="437"/>
      <c r="E154" s="437"/>
      <c r="F154" s="227"/>
      <c r="G154" s="227"/>
      <c r="H154" s="226"/>
      <c r="I154" s="226"/>
      <c r="J154" s="226"/>
      <c r="L154" s="436"/>
    </row>
    <row r="155" spans="1:14" s="319" customFormat="1" ht="12.75" customHeight="1">
      <c r="B155" s="24"/>
      <c r="C155" s="958" t="str">
        <f>IF('Język - Language'!$B$30="Polski","LICZBA ARTYKUŁÓW","NUMBER OF ARTICLES")</f>
        <v>LICZBA ARTYKUŁÓW</v>
      </c>
      <c r="D155" s="627" t="str">
        <f>IF('Język - Language'!$B$30="Polski","PRÓG #1","OPTION #1")</f>
        <v>PRÓG #1</v>
      </c>
      <c r="E155" s="627"/>
      <c r="F155" s="626" t="str">
        <f>IF('Język - Language'!$B$30="Polski","PRÓG #2","OPTION #2")</f>
        <v>PRÓG #2</v>
      </c>
      <c r="G155" s="626"/>
      <c r="H155" s="626"/>
      <c r="I155" s="639"/>
    </row>
    <row r="156" spans="1:14" s="319" customFormat="1" ht="12.75" customHeight="1">
      <c r="B156" s="24"/>
      <c r="C156" s="959"/>
      <c r="D156" s="470" t="str">
        <f>IF('Język - Language'!$B$30="Polski","ZASIĘG","REACH")</f>
        <v>ZASIĘG</v>
      </c>
      <c r="E156" s="456" t="str">
        <f>IF('Język - Language'!$B$30="Polski","Flat Fee 7 dni / net net","Flat Fee 7 days / net net")</f>
        <v>Flat Fee 7 dni / net net</v>
      </c>
      <c r="F156" s="907" t="str">
        <f>IF('Język - Language'!$B$30="Polski","ZASIĘG","REACH")</f>
        <v>ZASIĘG</v>
      </c>
      <c r="G156" s="907"/>
      <c r="H156" s="908" t="str">
        <f>IF('Język - Language'!$B$30="Polski","Flat Fee 7 dni / net net","Flat Fee 7 days / net net")</f>
        <v>Flat Fee 7 dni / net net</v>
      </c>
      <c r="I156" s="909"/>
    </row>
    <row r="157" spans="1:14" s="319" customFormat="1" ht="25.5" customHeight="1">
      <c r="B157" s="897" t="str">
        <f>IF('Język - Language'!$B$30="Polski","FLAT FEE","FLAT FEE")</f>
        <v>FLAT FEE</v>
      </c>
      <c r="C157" s="442">
        <v>1</v>
      </c>
      <c r="D157" s="471" t="s">
        <v>116</v>
      </c>
      <c r="E157" s="445">
        <v>12000</v>
      </c>
      <c r="F157" s="910" t="s">
        <v>120</v>
      </c>
      <c r="G157" s="911"/>
      <c r="H157" s="965">
        <v>15000</v>
      </c>
      <c r="I157" s="966"/>
    </row>
    <row r="158" spans="1:14" s="319" customFormat="1" ht="25.5" customHeight="1">
      <c r="B158" s="897"/>
      <c r="C158" s="443">
        <v>2</v>
      </c>
      <c r="D158" s="472" t="s">
        <v>117</v>
      </c>
      <c r="E158" s="441">
        <v>22800</v>
      </c>
      <c r="F158" s="905" t="s">
        <v>121</v>
      </c>
      <c r="G158" s="906"/>
      <c r="H158" s="956">
        <v>28500</v>
      </c>
      <c r="I158" s="957"/>
    </row>
    <row r="159" spans="1:14" s="319" customFormat="1" ht="25.5" customHeight="1">
      <c r="B159" s="897"/>
      <c r="C159" s="444">
        <v>3</v>
      </c>
      <c r="D159" s="472" t="s">
        <v>118</v>
      </c>
      <c r="E159" s="441">
        <v>32400</v>
      </c>
      <c r="F159" s="905" t="s">
        <v>122</v>
      </c>
      <c r="G159" s="906"/>
      <c r="H159" s="956">
        <v>40500</v>
      </c>
      <c r="I159" s="957"/>
    </row>
    <row r="160" spans="1:14" s="319" customFormat="1" ht="25.5" customHeight="1">
      <c r="B160" s="898"/>
      <c r="C160" s="439">
        <v>4</v>
      </c>
      <c r="D160" s="474" t="s">
        <v>119</v>
      </c>
      <c r="E160" s="232">
        <v>40800</v>
      </c>
      <c r="F160" s="963" t="s">
        <v>123</v>
      </c>
      <c r="G160" s="964"/>
      <c r="H160" s="967">
        <v>51000</v>
      </c>
      <c r="I160" s="968"/>
    </row>
    <row r="161" spans="1:13" s="319" customFormat="1" ht="12.75" customHeight="1">
      <c r="B161" s="313"/>
      <c r="C161" s="225"/>
      <c r="D161" s="437"/>
      <c r="E161" s="437"/>
      <c r="F161" s="227"/>
      <c r="G161" s="227"/>
      <c r="H161" s="226"/>
      <c r="I161" s="226"/>
      <c r="J161" s="226"/>
      <c r="L161" s="436"/>
    </row>
    <row r="162" spans="1:13" s="133" customFormat="1" ht="12.75" customHeight="1">
      <c r="A162" s="319"/>
      <c r="B162" s="313"/>
      <c r="C162" s="481" t="s">
        <v>153</v>
      </c>
      <c r="D162" s="415"/>
      <c r="E162" s="415"/>
      <c r="F162" s="227"/>
      <c r="G162" s="227"/>
      <c r="H162" s="226"/>
      <c r="I162" s="226"/>
      <c r="J162" s="226"/>
      <c r="K162" s="319"/>
      <c r="L162" s="413"/>
      <c r="M162" s="319"/>
    </row>
    <row r="163" spans="1:13" s="133" customFormat="1" ht="25.5" customHeight="1">
      <c r="A163" s="319"/>
      <c r="B163" s="313"/>
      <c r="C163" s="856" t="str">
        <f>IF('Język - Language'!$B$30="Polski","MIEJSCE EMISJI","PLACE OF EMISSION")</f>
        <v>MIEJSCE EMISJI</v>
      </c>
      <c r="D163" s="626" t="s">
        <v>148</v>
      </c>
      <c r="E163" s="626"/>
      <c r="F163" s="626" t="s">
        <v>146</v>
      </c>
      <c r="G163" s="626"/>
      <c r="H163" s="626"/>
      <c r="I163" s="639"/>
      <c r="J163" s="413"/>
      <c r="K163" s="319"/>
    </row>
    <row r="164" spans="1:13" s="319" customFormat="1" ht="12.75" customHeight="1">
      <c r="B164" s="313"/>
      <c r="C164" s="856"/>
      <c r="D164" s="626" t="s">
        <v>149</v>
      </c>
      <c r="E164" s="626"/>
      <c r="F164" s="626" t="s">
        <v>151</v>
      </c>
      <c r="G164" s="626"/>
      <c r="H164" s="626"/>
      <c r="I164" s="639"/>
      <c r="J164" s="479"/>
    </row>
    <row r="165" spans="1:13" s="133" customFormat="1" ht="38.25" customHeight="1">
      <c r="A165" s="319"/>
      <c r="B165" s="468" t="s">
        <v>65</v>
      </c>
      <c r="C165" s="216" t="s">
        <v>66</v>
      </c>
      <c r="D165" s="962" t="s">
        <v>150</v>
      </c>
      <c r="E165" s="921"/>
      <c r="F165" s="920" t="s">
        <v>152</v>
      </c>
      <c r="G165" s="920"/>
      <c r="H165" s="920"/>
      <c r="I165" s="921"/>
      <c r="J165" s="413"/>
      <c r="K165" s="319"/>
    </row>
    <row r="166" spans="1:13" s="319" customFormat="1" ht="12.75" customHeight="1">
      <c r="B166" s="313"/>
      <c r="C166" s="219" t="str">
        <f>IF('Język - Language'!$B$30="Polski","¹ zasięg 15 000 UU","¹ reach 15 000 UU")</f>
        <v>¹ zasięg 15 000 UU</v>
      </c>
      <c r="D166" s="438"/>
      <c r="E166" s="438"/>
      <c r="F166" s="227"/>
      <c r="G166" s="227"/>
      <c r="H166" s="226"/>
      <c r="I166" s="226"/>
      <c r="J166" s="226"/>
      <c r="L166" s="440"/>
    </row>
    <row r="167" spans="1:13" s="114" customFormat="1" ht="12.75" customHeight="1">
      <c r="A167" s="319"/>
      <c r="B167" s="319"/>
      <c r="C167" s="195"/>
      <c r="D167" s="195"/>
      <c r="E167" s="195"/>
      <c r="F167" s="195"/>
      <c r="G167" s="195"/>
      <c r="H167" s="195"/>
      <c r="I167" s="195"/>
      <c r="J167" s="195"/>
      <c r="K167" s="319"/>
      <c r="L167" s="319"/>
      <c r="M167" s="912"/>
    </row>
    <row r="168" spans="1:13" ht="12.75" customHeight="1">
      <c r="A168" s="319"/>
      <c r="B168" s="319"/>
      <c r="C168" s="217" t="str">
        <f>IF('Język - Language'!$B$30="Polski","INFORMACJE DODATKOWE: ","FURTHER INFORMATION: ")</f>
        <v xml:space="preserve">INFORMACJE DODATKOWE: </v>
      </c>
      <c r="D168" s="217"/>
      <c r="E168" s="425"/>
      <c r="F168" s="425"/>
      <c r="G168" s="425"/>
      <c r="H168" s="425"/>
      <c r="I168" s="425"/>
      <c r="J168" s="194" t="s">
        <v>32</v>
      </c>
      <c r="K168" s="319"/>
      <c r="L168" s="319"/>
      <c r="M168" s="912"/>
    </row>
    <row r="169" spans="1:13" ht="12.75" customHeight="1">
      <c r="A169" s="319"/>
      <c r="B169" s="319"/>
      <c r="C169" s="526"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169" s="194"/>
      <c r="E169" s="194"/>
      <c r="F169" s="194"/>
      <c r="G169" s="194"/>
      <c r="H169" s="194"/>
      <c r="I169" s="194"/>
      <c r="J169" s="194"/>
      <c r="K169" s="319"/>
      <c r="L169" s="319"/>
      <c r="M169" s="912"/>
    </row>
    <row r="170" spans="1:13" s="319" customFormat="1" ht="12.75" customHeight="1">
      <c r="C170" s="218" t="s">
        <v>197</v>
      </c>
      <c r="D170" s="525"/>
      <c r="E170" s="525"/>
      <c r="F170" s="525"/>
      <c r="G170" s="525"/>
      <c r="H170" s="525"/>
      <c r="I170" s="525"/>
      <c r="J170" s="525"/>
      <c r="M170" s="912"/>
    </row>
    <row r="171" spans="1:13">
      <c r="A171" s="319"/>
      <c r="B171" s="319"/>
      <c r="C171" s="359" t="str">
        <f>IF('Język - Language'!$B$30="Polski","• Istnieje możliwość emisji video oraz brandingu w ramach artykułu sponsorowanego.","• Addiotionally, you can add video or branding to the article. For price please contact the Advertising Office of WP.")</f>
        <v>• Istnieje możliwość emisji video oraz brandingu w ramach artykułu sponsorowanego.</v>
      </c>
      <c r="D171" s="359"/>
      <c r="E171" s="425"/>
      <c r="F171" s="425"/>
      <c r="G171" s="425"/>
      <c r="H171" s="425"/>
      <c r="I171" s="425"/>
      <c r="J171" s="359"/>
      <c r="K171" s="319"/>
      <c r="L171" s="319"/>
      <c r="M171" s="912"/>
    </row>
    <row r="172" spans="1:13" s="130" customFormat="1">
      <c r="A172" s="319"/>
      <c r="B172" s="319"/>
      <c r="C172" s="359"/>
      <c r="D172" s="359"/>
      <c r="E172" s="425"/>
      <c r="F172" s="425"/>
      <c r="G172" s="425"/>
      <c r="H172" s="425"/>
      <c r="I172" s="425"/>
      <c r="J172" s="359"/>
      <c r="K172" s="319"/>
      <c r="L172" s="319"/>
      <c r="M172" s="912"/>
    </row>
    <row r="173" spans="1:13" s="130" customFormat="1">
      <c r="A173" s="319"/>
      <c r="B173" s="319"/>
      <c r="C173" s="217" t="str">
        <f>IF('Język - Language'!$B$30="Polski","ARTYKUŁ SPONSOROWANY - OPCJE DODATKOWE (bez dopłat):","ADDITIONAL OPTIONS:")</f>
        <v>ARTYKUŁ SPONSOROWANY - OPCJE DODATKOWE (bez dopłat):</v>
      </c>
      <c r="D173" s="359"/>
      <c r="E173" s="425"/>
      <c r="F173" s="425"/>
      <c r="G173" s="425"/>
      <c r="H173" s="425"/>
      <c r="I173" s="425"/>
      <c r="J173" s="359"/>
      <c r="K173" s="319"/>
      <c r="L173" s="319"/>
      <c r="M173" s="912"/>
    </row>
    <row r="174" spans="1:13" s="130" customFormat="1">
      <c r="A174" s="319"/>
      <c r="B174" s="319"/>
      <c r="C174" s="359" t="str">
        <f>IF('Język - Language'!$B$30="Polski","• Możliwość umieszczenia multimediów w artykule ","• It is possible to place multimedia in an article")</f>
        <v xml:space="preserve">• Możliwość umieszczenia multimediów w artykule </v>
      </c>
      <c r="D174" s="359"/>
      <c r="E174" s="425"/>
      <c r="F174" s="425"/>
      <c r="G174" s="425"/>
      <c r="H174" s="425"/>
      <c r="I174" s="425"/>
      <c r="J174" s="359"/>
      <c r="K174" s="319"/>
      <c r="L174" s="319"/>
      <c r="M174" s="912"/>
    </row>
    <row r="175" spans="1:13" s="130" customFormat="1">
      <c r="A175" s="319"/>
      <c r="B175" s="319"/>
      <c r="C175" s="218" t="str">
        <f>IF('Język - Language'!$B$30="Polski","• Branding artykułu (screening desktop i górny banner mobile)","• Branding (desktop screening &amp; upper mobile banner)")</f>
        <v>• Branding artykułu (screening desktop i górny banner mobile)</v>
      </c>
      <c r="D175" s="359"/>
      <c r="E175" s="425"/>
      <c r="F175" s="425"/>
      <c r="G175" s="425"/>
      <c r="H175" s="425"/>
      <c r="I175" s="425"/>
      <c r="J175" s="359"/>
      <c r="K175" s="319"/>
      <c r="L175" s="319"/>
      <c r="M175" s="912"/>
    </row>
    <row r="176" spans="1:13">
      <c r="A176" s="319"/>
      <c r="B176" s="319"/>
      <c r="C176" s="359"/>
      <c r="D176" s="359"/>
      <c r="E176" s="425"/>
      <c r="F176" s="425"/>
      <c r="G176" s="425"/>
      <c r="H176" s="425"/>
      <c r="I176" s="425"/>
      <c r="J176" s="359"/>
      <c r="K176" s="319"/>
      <c r="L176" s="319"/>
      <c r="M176" s="912"/>
    </row>
    <row r="177" spans="1:13" s="130" customFormat="1">
      <c r="A177" s="319"/>
      <c r="B177" s="319"/>
      <c r="C177" s="219"/>
      <c r="D177" s="219"/>
      <c r="E177" s="425"/>
      <c r="F177" s="425"/>
      <c r="G177" s="425"/>
      <c r="H177" s="425"/>
      <c r="I177" s="425"/>
      <c r="J177" s="359"/>
      <c r="K177" s="319"/>
      <c r="L177" s="319"/>
      <c r="M177" s="413"/>
    </row>
    <row r="178" spans="1:13" s="130" customFormat="1" ht="12.75" customHeight="1">
      <c r="A178" s="319"/>
      <c r="B178" s="313"/>
      <c r="C178" s="228"/>
      <c r="D178" s="415"/>
      <c r="E178" s="415"/>
      <c r="F178" s="227"/>
      <c r="G178" s="227"/>
      <c r="H178" s="226"/>
      <c r="I178" s="226"/>
      <c r="J178" s="226"/>
      <c r="K178" s="319"/>
      <c r="L178" s="413"/>
      <c r="M178" s="319"/>
    </row>
    <row r="179" spans="1:13" s="130" customFormat="1">
      <c r="A179" s="319"/>
      <c r="B179" s="319"/>
      <c r="C179" s="219"/>
      <c r="D179" s="219"/>
      <c r="E179" s="425"/>
      <c r="F179" s="425"/>
      <c r="G179" s="425"/>
      <c r="H179" s="425"/>
      <c r="I179" s="425"/>
      <c r="J179" s="359"/>
      <c r="K179" s="319"/>
      <c r="L179" s="319"/>
      <c r="M179" s="413"/>
    </row>
  </sheetData>
  <mergeCells count="531">
    <mergeCell ref="N28:O28"/>
    <mergeCell ref="N29:O29"/>
    <mergeCell ref="N30:O30"/>
    <mergeCell ref="N31:O31"/>
    <mergeCell ref="N34:O34"/>
    <mergeCell ref="N42:O42"/>
    <mergeCell ref="N54:O54"/>
    <mergeCell ref="L34:M34"/>
    <mergeCell ref="L42:M42"/>
    <mergeCell ref="L33:M33"/>
    <mergeCell ref="N33:O33"/>
    <mergeCell ref="L32:M32"/>
    <mergeCell ref="N32:O32"/>
    <mergeCell ref="L39:M39"/>
    <mergeCell ref="N39:O39"/>
    <mergeCell ref="N35:O35"/>
    <mergeCell ref="N36:O36"/>
    <mergeCell ref="N37:O37"/>
    <mergeCell ref="N38:O38"/>
    <mergeCell ref="L35:M35"/>
    <mergeCell ref="L36:M36"/>
    <mergeCell ref="L37:M37"/>
    <mergeCell ref="L38:M38"/>
    <mergeCell ref="L30:M30"/>
    <mergeCell ref="L31:M31"/>
    <mergeCell ref="H47:I47"/>
    <mergeCell ref="H46:I46"/>
    <mergeCell ref="C31:C33"/>
    <mergeCell ref="C34:C39"/>
    <mergeCell ref="F28:G28"/>
    <mergeCell ref="H29:I29"/>
    <mergeCell ref="H30:I30"/>
    <mergeCell ref="D33:E33"/>
    <mergeCell ref="J33:K33"/>
    <mergeCell ref="J32:K32"/>
    <mergeCell ref="D39:E39"/>
    <mergeCell ref="J39:K39"/>
    <mergeCell ref="H45:I45"/>
    <mergeCell ref="H44:I44"/>
    <mergeCell ref="H43:I43"/>
    <mergeCell ref="H31:I31"/>
    <mergeCell ref="H34:I34"/>
    <mergeCell ref="H42:I42"/>
    <mergeCell ref="L44:M44"/>
    <mergeCell ref="F32:G32"/>
    <mergeCell ref="H32:I32"/>
    <mergeCell ref="F39:G39"/>
    <mergeCell ref="J47:K47"/>
    <mergeCell ref="D165:E165"/>
    <mergeCell ref="F160:G160"/>
    <mergeCell ref="H157:I157"/>
    <mergeCell ref="H159:I159"/>
    <mergeCell ref="H160:I160"/>
    <mergeCell ref="L28:M28"/>
    <mergeCell ref="F9:I9"/>
    <mergeCell ref="F29:G29"/>
    <mergeCell ref="F30:G30"/>
    <mergeCell ref="F31:G31"/>
    <mergeCell ref="F34:G34"/>
    <mergeCell ref="F42:G42"/>
    <mergeCell ref="F54:G54"/>
    <mergeCell ref="F64:G64"/>
    <mergeCell ref="F11:G11"/>
    <mergeCell ref="L64:M64"/>
    <mergeCell ref="J29:K29"/>
    <mergeCell ref="J30:K30"/>
    <mergeCell ref="J31:K31"/>
    <mergeCell ref="J34:K34"/>
    <mergeCell ref="J42:K42"/>
    <mergeCell ref="J54:K54"/>
    <mergeCell ref="J64:K64"/>
    <mergeCell ref="J28:K28"/>
    <mergeCell ref="C163:C164"/>
    <mergeCell ref="D163:E163"/>
    <mergeCell ref="L23:M24"/>
    <mergeCell ref="H24:I24"/>
    <mergeCell ref="C144:C145"/>
    <mergeCell ref="F144:I144"/>
    <mergeCell ref="F145:G145"/>
    <mergeCell ref="H145:I145"/>
    <mergeCell ref="F147:G147"/>
    <mergeCell ref="D155:E155"/>
    <mergeCell ref="F155:I155"/>
    <mergeCell ref="H158:I158"/>
    <mergeCell ref="J81:K81"/>
    <mergeCell ref="J106:K106"/>
    <mergeCell ref="F81:G81"/>
    <mergeCell ref="F106:G106"/>
    <mergeCell ref="J135:M135"/>
    <mergeCell ref="F146:I146"/>
    <mergeCell ref="C133:C135"/>
    <mergeCell ref="C155:C156"/>
    <mergeCell ref="E128:F128"/>
    <mergeCell ref="F163:I163"/>
    <mergeCell ref="D164:E164"/>
    <mergeCell ref="L29:M29"/>
    <mergeCell ref="E7:E10"/>
    <mergeCell ref="H11:I18"/>
    <mergeCell ref="J23:K24"/>
    <mergeCell ref="F25:G26"/>
    <mergeCell ref="F23:G24"/>
    <mergeCell ref="D23:E28"/>
    <mergeCell ref="H8:I8"/>
    <mergeCell ref="F8:G8"/>
    <mergeCell ref="F15:G15"/>
    <mergeCell ref="F16:G16"/>
    <mergeCell ref="F17:G17"/>
    <mergeCell ref="F18:G18"/>
    <mergeCell ref="F19:G19"/>
    <mergeCell ref="F10:G10"/>
    <mergeCell ref="H28:I28"/>
    <mergeCell ref="J25:K26"/>
    <mergeCell ref="F12:G12"/>
    <mergeCell ref="H19:I19"/>
    <mergeCell ref="H10:I10"/>
    <mergeCell ref="F14:G14"/>
    <mergeCell ref="H25:I25"/>
    <mergeCell ref="H26:I26"/>
    <mergeCell ref="I1:O3"/>
    <mergeCell ref="B147:B151"/>
    <mergeCell ref="F27:O27"/>
    <mergeCell ref="D30:E30"/>
    <mergeCell ref="D77:E77"/>
    <mergeCell ref="D64:E64"/>
    <mergeCell ref="D42:E42"/>
    <mergeCell ref="D106:E106"/>
    <mergeCell ref="N23:O24"/>
    <mergeCell ref="N25:O26"/>
    <mergeCell ref="H23:I23"/>
    <mergeCell ref="D7:D10"/>
    <mergeCell ref="L25:M26"/>
    <mergeCell ref="C7:C10"/>
    <mergeCell ref="C23:C28"/>
    <mergeCell ref="C11:C19"/>
    <mergeCell ref="B11:B19"/>
    <mergeCell ref="F13:G13"/>
    <mergeCell ref="F7:G7"/>
    <mergeCell ref="B136:B140"/>
    <mergeCell ref="D29:E29"/>
    <mergeCell ref="B29:B106"/>
    <mergeCell ref="L77:M77"/>
    <mergeCell ref="L81:M81"/>
    <mergeCell ref="M167:M176"/>
    <mergeCell ref="D136:E136"/>
    <mergeCell ref="D138:E138"/>
    <mergeCell ref="D71:E71"/>
    <mergeCell ref="H149:I149"/>
    <mergeCell ref="H150:I150"/>
    <mergeCell ref="H151:I151"/>
    <mergeCell ref="D139:E139"/>
    <mergeCell ref="D137:E137"/>
    <mergeCell ref="J136:M139"/>
    <mergeCell ref="F77:G77"/>
    <mergeCell ref="L106:M106"/>
    <mergeCell ref="J77:K77"/>
    <mergeCell ref="D146:E146"/>
    <mergeCell ref="H148:I148"/>
    <mergeCell ref="L74:M74"/>
    <mergeCell ref="L73:M73"/>
    <mergeCell ref="L72:M72"/>
    <mergeCell ref="J76:K76"/>
    <mergeCell ref="J75:K75"/>
    <mergeCell ref="J74:K74"/>
    <mergeCell ref="J73:K73"/>
    <mergeCell ref="F165:I165"/>
    <mergeCell ref="F164:I164"/>
    <mergeCell ref="E129:F129"/>
    <mergeCell ref="F136:I139"/>
    <mergeCell ref="D140:E140"/>
    <mergeCell ref="F140:I140"/>
    <mergeCell ref="J140:M140"/>
    <mergeCell ref="J133:M134"/>
    <mergeCell ref="D144:E144"/>
    <mergeCell ref="B157:B160"/>
    <mergeCell ref="F148:G148"/>
    <mergeCell ref="F149:G149"/>
    <mergeCell ref="D133:E134"/>
    <mergeCell ref="F133:I134"/>
    <mergeCell ref="D118:D129"/>
    <mergeCell ref="D135:E135"/>
    <mergeCell ref="F135:I135"/>
    <mergeCell ref="F150:G150"/>
    <mergeCell ref="H147:I147"/>
    <mergeCell ref="F151:G151"/>
    <mergeCell ref="F158:G158"/>
    <mergeCell ref="F159:G159"/>
    <mergeCell ref="F156:G156"/>
    <mergeCell ref="H156:I156"/>
    <mergeCell ref="F157:G157"/>
    <mergeCell ref="C115:C117"/>
    <mergeCell ref="D116:F116"/>
    <mergeCell ref="E127:F127"/>
    <mergeCell ref="E121:F121"/>
    <mergeCell ref="E122:F122"/>
    <mergeCell ref="E123:F123"/>
    <mergeCell ref="E124:F124"/>
    <mergeCell ref="E125:F125"/>
    <mergeCell ref="E126:F126"/>
    <mergeCell ref="E115:F115"/>
    <mergeCell ref="E118:F118"/>
    <mergeCell ref="E117:F117"/>
    <mergeCell ref="E119:F119"/>
    <mergeCell ref="E120:F120"/>
    <mergeCell ref="D81:E81"/>
    <mergeCell ref="F71:G71"/>
    <mergeCell ref="D92:E92"/>
    <mergeCell ref="F92:G92"/>
    <mergeCell ref="H92:I92"/>
    <mergeCell ref="H81:I81"/>
    <mergeCell ref="F33:G33"/>
    <mergeCell ref="H33:I33"/>
    <mergeCell ref="F74:G74"/>
    <mergeCell ref="F73:G73"/>
    <mergeCell ref="F72:G72"/>
    <mergeCell ref="H80:I80"/>
    <mergeCell ref="H79:I79"/>
    <mergeCell ref="H78:I78"/>
    <mergeCell ref="F80:G80"/>
    <mergeCell ref="F79:G79"/>
    <mergeCell ref="F78:G78"/>
    <mergeCell ref="F89:G89"/>
    <mergeCell ref="F88:G88"/>
    <mergeCell ref="F87:G87"/>
    <mergeCell ref="F86:G86"/>
    <mergeCell ref="F85:G85"/>
    <mergeCell ref="H54:I54"/>
    <mergeCell ref="N106:O106"/>
    <mergeCell ref="N77:O77"/>
    <mergeCell ref="L71:M71"/>
    <mergeCell ref="J71:K71"/>
    <mergeCell ref="L54:M54"/>
    <mergeCell ref="J92:K92"/>
    <mergeCell ref="L92:M92"/>
    <mergeCell ref="H106:I106"/>
    <mergeCell ref="N64:O64"/>
    <mergeCell ref="N71:O71"/>
    <mergeCell ref="N92:O92"/>
    <mergeCell ref="H101:I101"/>
    <mergeCell ref="H100:I100"/>
    <mergeCell ref="H99:I99"/>
    <mergeCell ref="H98:I98"/>
    <mergeCell ref="H97:I97"/>
    <mergeCell ref="H96:I96"/>
    <mergeCell ref="H64:I64"/>
    <mergeCell ref="H71:I71"/>
    <mergeCell ref="H105:I105"/>
    <mergeCell ref="J105:K105"/>
    <mergeCell ref="L105:M105"/>
    <mergeCell ref="N105:O105"/>
    <mergeCell ref="H104:I104"/>
    <mergeCell ref="H103:I103"/>
    <mergeCell ref="H102:I102"/>
    <mergeCell ref="H39:I39"/>
    <mergeCell ref="H53:I53"/>
    <mergeCell ref="H52:I52"/>
    <mergeCell ref="H51:I51"/>
    <mergeCell ref="H50:I50"/>
    <mergeCell ref="H49:I49"/>
    <mergeCell ref="H48:I48"/>
    <mergeCell ref="H95:I95"/>
    <mergeCell ref="H94:I94"/>
    <mergeCell ref="H93:I93"/>
    <mergeCell ref="H63:I63"/>
    <mergeCell ref="H62:I62"/>
    <mergeCell ref="H60:I60"/>
    <mergeCell ref="H59:I59"/>
    <mergeCell ref="H58:I58"/>
    <mergeCell ref="H57:I57"/>
    <mergeCell ref="H56:I56"/>
    <mergeCell ref="H55:I55"/>
    <mergeCell ref="H61:I61"/>
    <mergeCell ref="J104:K104"/>
    <mergeCell ref="J103:K103"/>
    <mergeCell ref="J102:K102"/>
    <mergeCell ref="J101:K101"/>
    <mergeCell ref="J100:K100"/>
    <mergeCell ref="J99:K99"/>
    <mergeCell ref="J98:K98"/>
    <mergeCell ref="J97:K97"/>
    <mergeCell ref="J96:K96"/>
    <mergeCell ref="J95:K95"/>
    <mergeCell ref="J94:K94"/>
    <mergeCell ref="J93:K93"/>
    <mergeCell ref="J53:K53"/>
    <mergeCell ref="J52:K52"/>
    <mergeCell ref="J51:K51"/>
    <mergeCell ref="J50:K50"/>
    <mergeCell ref="J49:K49"/>
    <mergeCell ref="J48:K48"/>
    <mergeCell ref="J63:K63"/>
    <mergeCell ref="J62:K62"/>
    <mergeCell ref="J60:K60"/>
    <mergeCell ref="J59:K59"/>
    <mergeCell ref="J58:K58"/>
    <mergeCell ref="J57:K57"/>
    <mergeCell ref="J56:K56"/>
    <mergeCell ref="J55:K55"/>
    <mergeCell ref="J61:K61"/>
    <mergeCell ref="J91:K91"/>
    <mergeCell ref="J90:K90"/>
    <mergeCell ref="J89:K89"/>
    <mergeCell ref="J88:K88"/>
    <mergeCell ref="J87:K87"/>
    <mergeCell ref="J86:K86"/>
    <mergeCell ref="J46:K46"/>
    <mergeCell ref="J45:K45"/>
    <mergeCell ref="J44:K44"/>
    <mergeCell ref="F35:G35"/>
    <mergeCell ref="F36:G36"/>
    <mergeCell ref="F37:G37"/>
    <mergeCell ref="F38:G38"/>
    <mergeCell ref="H35:I35"/>
    <mergeCell ref="H36:I36"/>
    <mergeCell ref="H37:I37"/>
    <mergeCell ref="H38:I38"/>
    <mergeCell ref="J35:K35"/>
    <mergeCell ref="J36:K36"/>
    <mergeCell ref="J37:K37"/>
    <mergeCell ref="J38:K38"/>
    <mergeCell ref="J43:K43"/>
    <mergeCell ref="C40:C42"/>
    <mergeCell ref="F40:G40"/>
    <mergeCell ref="H40:I40"/>
    <mergeCell ref="J40:K40"/>
    <mergeCell ref="L40:M40"/>
    <mergeCell ref="N40:O40"/>
    <mergeCell ref="F41:G41"/>
    <mergeCell ref="H41:I41"/>
    <mergeCell ref="J41:K41"/>
    <mergeCell ref="L41:M41"/>
    <mergeCell ref="N41:O41"/>
    <mergeCell ref="C43:C54"/>
    <mergeCell ref="F43:G43"/>
    <mergeCell ref="F53:G53"/>
    <mergeCell ref="F52:G52"/>
    <mergeCell ref="F51:G51"/>
    <mergeCell ref="F50:G50"/>
    <mergeCell ref="F49:G49"/>
    <mergeCell ref="F48:G48"/>
    <mergeCell ref="F47:G47"/>
    <mergeCell ref="F46:G46"/>
    <mergeCell ref="F45:G45"/>
    <mergeCell ref="F44:G44"/>
    <mergeCell ref="D54:E54"/>
    <mergeCell ref="L43:M43"/>
    <mergeCell ref="N53:O53"/>
    <mergeCell ref="N52:O52"/>
    <mergeCell ref="N51:O51"/>
    <mergeCell ref="N50:O50"/>
    <mergeCell ref="N49:O49"/>
    <mergeCell ref="N48:O48"/>
    <mergeCell ref="N47:O47"/>
    <mergeCell ref="N46:O46"/>
    <mergeCell ref="N45:O45"/>
    <mergeCell ref="N44:O44"/>
    <mergeCell ref="N43:O43"/>
    <mergeCell ref="L53:M53"/>
    <mergeCell ref="L52:M52"/>
    <mergeCell ref="L51:M51"/>
    <mergeCell ref="L50:M50"/>
    <mergeCell ref="L49:M49"/>
    <mergeCell ref="L48:M48"/>
    <mergeCell ref="L47:M47"/>
    <mergeCell ref="L46:M46"/>
    <mergeCell ref="L45:M45"/>
    <mergeCell ref="C55:C64"/>
    <mergeCell ref="F63:G63"/>
    <mergeCell ref="F62:G62"/>
    <mergeCell ref="F60:G60"/>
    <mergeCell ref="F59:G59"/>
    <mergeCell ref="F58:G58"/>
    <mergeCell ref="F57:G57"/>
    <mergeCell ref="F56:G56"/>
    <mergeCell ref="F55:G55"/>
    <mergeCell ref="F61:G61"/>
    <mergeCell ref="N63:O63"/>
    <mergeCell ref="N62:O62"/>
    <mergeCell ref="N60:O60"/>
    <mergeCell ref="N59:O59"/>
    <mergeCell ref="N58:O58"/>
    <mergeCell ref="N57:O57"/>
    <mergeCell ref="N56:O56"/>
    <mergeCell ref="N55:O55"/>
    <mergeCell ref="L63:M63"/>
    <mergeCell ref="L62:M62"/>
    <mergeCell ref="L60:M60"/>
    <mergeCell ref="L59:M59"/>
    <mergeCell ref="L58:M58"/>
    <mergeCell ref="L57:M57"/>
    <mergeCell ref="L56:M56"/>
    <mergeCell ref="L55:M55"/>
    <mergeCell ref="L61:M61"/>
    <mergeCell ref="N61:O61"/>
    <mergeCell ref="C65:C71"/>
    <mergeCell ref="F70:G70"/>
    <mergeCell ref="F69:G69"/>
    <mergeCell ref="F68:G68"/>
    <mergeCell ref="F67:G67"/>
    <mergeCell ref="F66:G66"/>
    <mergeCell ref="F65:G65"/>
    <mergeCell ref="J70:K70"/>
    <mergeCell ref="J69:K69"/>
    <mergeCell ref="J68:K68"/>
    <mergeCell ref="J67:K67"/>
    <mergeCell ref="J66:K66"/>
    <mergeCell ref="J65:K65"/>
    <mergeCell ref="H70:I70"/>
    <mergeCell ref="H69:I69"/>
    <mergeCell ref="H68:I68"/>
    <mergeCell ref="H67:I67"/>
    <mergeCell ref="H66:I66"/>
    <mergeCell ref="H65:I65"/>
    <mergeCell ref="L70:M70"/>
    <mergeCell ref="L69:M69"/>
    <mergeCell ref="L68:M68"/>
    <mergeCell ref="L67:M67"/>
    <mergeCell ref="L66:M66"/>
    <mergeCell ref="L65:M65"/>
    <mergeCell ref="N70:O70"/>
    <mergeCell ref="N69:O69"/>
    <mergeCell ref="N68:O68"/>
    <mergeCell ref="N67:O67"/>
    <mergeCell ref="N66:O66"/>
    <mergeCell ref="N65:O65"/>
    <mergeCell ref="N73:O73"/>
    <mergeCell ref="N72:O72"/>
    <mergeCell ref="L76:M76"/>
    <mergeCell ref="L75:M75"/>
    <mergeCell ref="H76:I76"/>
    <mergeCell ref="H75:I75"/>
    <mergeCell ref="H74:I74"/>
    <mergeCell ref="H73:I73"/>
    <mergeCell ref="H72:I72"/>
    <mergeCell ref="C78:C81"/>
    <mergeCell ref="C72:C77"/>
    <mergeCell ref="J85:K85"/>
    <mergeCell ref="J84:K84"/>
    <mergeCell ref="J83:K83"/>
    <mergeCell ref="J82:K82"/>
    <mergeCell ref="H82:I82"/>
    <mergeCell ref="N81:O81"/>
    <mergeCell ref="F76:G76"/>
    <mergeCell ref="F75:G75"/>
    <mergeCell ref="H77:I77"/>
    <mergeCell ref="N80:O80"/>
    <mergeCell ref="N79:O79"/>
    <mergeCell ref="N78:O78"/>
    <mergeCell ref="L80:M80"/>
    <mergeCell ref="L79:M79"/>
    <mergeCell ref="L78:M78"/>
    <mergeCell ref="J80:K80"/>
    <mergeCell ref="J79:K79"/>
    <mergeCell ref="J78:K78"/>
    <mergeCell ref="J72:K72"/>
    <mergeCell ref="N76:O76"/>
    <mergeCell ref="N75:O75"/>
    <mergeCell ref="N74:O74"/>
    <mergeCell ref="C82:C92"/>
    <mergeCell ref="F91:G91"/>
    <mergeCell ref="F90:G90"/>
    <mergeCell ref="H91:I91"/>
    <mergeCell ref="H90:I90"/>
    <mergeCell ref="H89:I89"/>
    <mergeCell ref="H88:I88"/>
    <mergeCell ref="H87:I87"/>
    <mergeCell ref="H86:I86"/>
    <mergeCell ref="H85:I85"/>
    <mergeCell ref="H84:I84"/>
    <mergeCell ref="H83:I83"/>
    <mergeCell ref="F84:G84"/>
    <mergeCell ref="F83:G83"/>
    <mergeCell ref="F82:G82"/>
    <mergeCell ref="L84:M84"/>
    <mergeCell ref="L83:M83"/>
    <mergeCell ref="L82:M82"/>
    <mergeCell ref="N91:O91"/>
    <mergeCell ref="N90:O90"/>
    <mergeCell ref="N89:O89"/>
    <mergeCell ref="N88:O88"/>
    <mergeCell ref="N87:O87"/>
    <mergeCell ref="N86:O86"/>
    <mergeCell ref="N85:O85"/>
    <mergeCell ref="N84:O84"/>
    <mergeCell ref="N83:O83"/>
    <mergeCell ref="N82:O82"/>
    <mergeCell ref="L91:M91"/>
    <mergeCell ref="L90:M90"/>
    <mergeCell ref="L89:M89"/>
    <mergeCell ref="L88:M88"/>
    <mergeCell ref="L87:M87"/>
    <mergeCell ref="L86:M86"/>
    <mergeCell ref="L85:M85"/>
    <mergeCell ref="C93:C105"/>
    <mergeCell ref="F104:G104"/>
    <mergeCell ref="F103:G103"/>
    <mergeCell ref="F102:G102"/>
    <mergeCell ref="F101:G101"/>
    <mergeCell ref="F100:G100"/>
    <mergeCell ref="F99:G99"/>
    <mergeCell ref="F98:G98"/>
    <mergeCell ref="F97:G97"/>
    <mergeCell ref="F96:G96"/>
    <mergeCell ref="F95:G95"/>
    <mergeCell ref="F94:G94"/>
    <mergeCell ref="F93:G93"/>
    <mergeCell ref="D105:E105"/>
    <mergeCell ref="F105:G105"/>
    <mergeCell ref="L95:M95"/>
    <mergeCell ref="L94:M94"/>
    <mergeCell ref="L93:M93"/>
    <mergeCell ref="N95:O95"/>
    <mergeCell ref="N94:O94"/>
    <mergeCell ref="N93:O93"/>
    <mergeCell ref="L104:M104"/>
    <mergeCell ref="L103:M103"/>
    <mergeCell ref="L102:M102"/>
    <mergeCell ref="L101:M101"/>
    <mergeCell ref="L100:M100"/>
    <mergeCell ref="L99:M99"/>
    <mergeCell ref="L98:M98"/>
    <mergeCell ref="L97:M97"/>
    <mergeCell ref="L96:M96"/>
    <mergeCell ref="N104:O104"/>
    <mergeCell ref="N103:O103"/>
    <mergeCell ref="N102:O102"/>
    <mergeCell ref="N101:O101"/>
    <mergeCell ref="N100:O100"/>
    <mergeCell ref="N99:O99"/>
    <mergeCell ref="N98:O98"/>
    <mergeCell ref="N97:O97"/>
    <mergeCell ref="N96:O96"/>
  </mergeCells>
  <pageMargins left="0.7" right="0.7" top="0.75" bottom="0.75" header="0.3" footer="0.3"/>
  <pageSetup paperSize="256" scale="55" fitToHeight="0" orientation="landscape" r:id="rId1"/>
  <ignoredErrors>
    <ignoredError sqref="E156"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L110"/>
  <sheetViews>
    <sheetView zoomScaleNormal="100" workbookViewId="0">
      <pane ySplit="4" topLeftCell="A5" activePane="bottomLeft" state="frozen"/>
      <selection activeCell="N1" sqref="N1:S3"/>
      <selection pane="bottomLeft"/>
    </sheetView>
  </sheetViews>
  <sheetFormatPr defaultColWidth="15.42578125" defaultRowHeight="12.75"/>
  <cols>
    <col min="1" max="1" width="2.85546875" style="319" customWidth="1"/>
    <col min="2" max="2" width="2.85546875" style="2" customWidth="1"/>
    <col min="3" max="3" width="22.85546875" style="2" customWidth="1"/>
    <col min="4" max="4" width="35" style="2" customWidth="1"/>
    <col min="5" max="5" width="14.42578125" style="55" customWidth="1"/>
    <col min="6" max="6" width="9.42578125" style="2" customWidth="1"/>
    <col min="7" max="7" width="14.42578125" style="2" customWidth="1"/>
    <col min="8" max="9" width="14.42578125" style="51" customWidth="1"/>
    <col min="10" max="10" width="2.85546875" style="2" customWidth="1"/>
    <col min="11" max="12" width="18.5703125" style="2" customWidth="1"/>
    <col min="13" max="16384" width="15.42578125" style="2"/>
  </cols>
  <sheetData>
    <row r="1" spans="1:12" ht="12.75" customHeight="1">
      <c r="B1" s="319"/>
      <c r="C1" s="319"/>
      <c r="D1" s="319"/>
      <c r="E1" s="319"/>
      <c r="F1" s="321"/>
      <c r="G1" s="321"/>
      <c r="H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I1" s="589"/>
      <c r="J1" s="589"/>
      <c r="K1" s="589"/>
      <c r="L1" s="589"/>
    </row>
    <row r="2" spans="1:12" ht="12.75" customHeight="1">
      <c r="B2" s="319"/>
      <c r="C2" s="319"/>
      <c r="D2" s="373"/>
      <c r="E2" s="321"/>
      <c r="F2" s="321"/>
      <c r="G2" s="321"/>
      <c r="H2" s="589"/>
      <c r="I2" s="589"/>
      <c r="J2" s="589"/>
      <c r="K2" s="589"/>
      <c r="L2" s="589"/>
    </row>
    <row r="3" spans="1:12" ht="12.75" customHeight="1">
      <c r="B3" s="319"/>
      <c r="C3" s="319"/>
      <c r="D3" s="373"/>
      <c r="E3" s="321"/>
      <c r="F3" s="321"/>
      <c r="G3" s="321"/>
      <c r="H3" s="589"/>
      <c r="I3" s="589"/>
      <c r="J3" s="589"/>
      <c r="K3" s="589"/>
      <c r="L3" s="589"/>
    </row>
    <row r="4" spans="1:12" s="34" customFormat="1" ht="12.75" customHeight="1">
      <c r="A4" s="322"/>
      <c r="B4" s="322"/>
      <c r="C4" s="35" t="str">
        <f>IF('Język - Language'!$B$30="Polski","            Oferta Wideo","             Video")</f>
        <v xml:space="preserve">            Oferta Wideo</v>
      </c>
      <c r="D4" s="322"/>
      <c r="E4" s="322"/>
      <c r="F4" s="322"/>
      <c r="G4" s="322"/>
      <c r="H4" s="322"/>
      <c r="I4" s="322"/>
      <c r="J4" s="322"/>
      <c r="K4" s="322"/>
      <c r="L4" s="312" t="str">
        <f>IF('Język - Language'!$B$30="Polski","PL","EN")</f>
        <v>PL</v>
      </c>
    </row>
    <row r="5" spans="1:12" ht="12.75" customHeight="1">
      <c r="B5" s="319"/>
      <c r="C5" s="319"/>
      <c r="D5" s="319"/>
      <c r="E5" s="319"/>
      <c r="F5" s="319"/>
      <c r="G5" s="319"/>
      <c r="H5" s="319"/>
      <c r="I5" s="319"/>
      <c r="J5" s="319"/>
      <c r="K5" s="319"/>
      <c r="L5" s="319"/>
    </row>
    <row r="6" spans="1:12" s="95" customFormat="1" ht="12.75" customHeight="1">
      <c r="A6" s="319"/>
      <c r="B6" s="319"/>
      <c r="C6" s="319"/>
      <c r="D6" s="319"/>
      <c r="E6" s="319"/>
      <c r="F6" s="319"/>
      <c r="G6" s="319"/>
      <c r="H6" s="319"/>
      <c r="I6" s="319"/>
      <c r="J6" s="319"/>
      <c r="K6" s="319"/>
      <c r="L6" s="319"/>
    </row>
    <row r="7" spans="1:12" ht="25.5" customHeight="1">
      <c r="B7" s="313"/>
      <c r="C7" s="974" t="str">
        <f>IF('Język - Language'!$B$30="Polski","PAKIET","PACKAGE")</f>
        <v>PAKIET</v>
      </c>
      <c r="D7" s="984" t="str">
        <f>IF('Język - Language'!$B$30="Polski","MIEJSCE EMISJI","PLACE OF EMISSION")</f>
        <v>MIEJSCE EMISJI</v>
      </c>
      <c r="E7" s="266" t="str">
        <f>IF('Język - Language'!$B$30="Polski","Instream Audio Ad OPEN.FM","INSTREAM AUDIO AD OPEN.FM")</f>
        <v>Instream Audio Ad OPEN.FM</v>
      </c>
      <c r="F7" s="987" t="str">
        <f>IF('Język - Language'!$B$30="Polski","Instream Video Ad CPM, Instream Video SkipAd CPM","INSTREAM VIDEO AD CPM, PREROLL SKIPAD CPM")</f>
        <v>Instream Video Ad CPM, Instream Video SkipAd CPM</v>
      </c>
      <c r="G7" s="988"/>
      <c r="H7" s="977" t="str">
        <f>IF('Język - Language'!$B$30="Polski","DISPLAY","DISPLAY")</f>
        <v>DISPLAY</v>
      </c>
      <c r="I7" s="978"/>
      <c r="J7" s="359"/>
      <c r="K7" s="979" t="str">
        <f>IF('Język - Language'!$B$30="Polski","Instream Video Ad CPV (CENY NET NET)","PREROLL CPV (PRICES NET NET)")</f>
        <v>Instream Video Ad CPV (CENY NET NET)</v>
      </c>
      <c r="L7" s="980"/>
    </row>
    <row r="8" spans="1:12" s="263" customFormat="1" ht="25.5" customHeight="1">
      <c r="A8" s="319"/>
      <c r="B8" s="313"/>
      <c r="C8" s="975"/>
      <c r="D8" s="985"/>
      <c r="E8" s="987" t="str">
        <f>IF('Język - Language'!$B$30="Polski","rozliczenie CPM za rozpoczęte odtworzenia, wg statystyk wewnętrznych WPM³","CPM settlement for started video playbacks, according to internal statistics of WPM³")</f>
        <v>rozliczenie CPM za rozpoczęte odtworzenia, wg statystyk wewnętrznych WPM³</v>
      </c>
      <c r="F8" s="988"/>
      <c r="G8" s="988"/>
      <c r="H8" s="325"/>
      <c r="I8" s="418"/>
      <c r="J8" s="359"/>
      <c r="K8" s="979" t="str">
        <f>IF('Język - Language'!$B$30="Polski","rozliczenie za pełne odtworzenia³","settlement for fully watched video playbacks³")</f>
        <v>rozliczenie za pełne odtworzenia³</v>
      </c>
      <c r="L8" s="980"/>
    </row>
    <row r="9" spans="1:12" ht="25.5" customHeight="1">
      <c r="B9" s="313"/>
      <c r="C9" s="976"/>
      <c r="D9" s="986"/>
      <c r="E9" s="291" t="s">
        <v>73</v>
      </c>
      <c r="F9" s="292" t="s">
        <v>74</v>
      </c>
      <c r="G9" s="290" t="str">
        <f>IF('Język - Language'!$B$30="Polski",CONCATENATE("30",CHAR(34)," i dłuższy⁴"),CONCATENATE("30",CHAR(34)," or longer⁴"))</f>
        <v>30" i dłuższy⁴</v>
      </c>
      <c r="H9" s="290" t="str">
        <f>IF('Język - Language'!$B$30="Polski","BOTTOM LAYER","BOTTOM LAYER")</f>
        <v>BOTTOM LAYER</v>
      </c>
      <c r="I9" s="290" t="str">
        <f>IF('Język - Language'!$B$30="Polski","ADFRAME","ADFRAME")</f>
        <v>ADFRAME</v>
      </c>
      <c r="J9" s="359"/>
      <c r="K9" s="267" t="s">
        <v>74</v>
      </c>
      <c r="L9" s="268" t="s">
        <v>75</v>
      </c>
    </row>
    <row r="10" spans="1:12" ht="36" customHeight="1">
      <c r="B10" s="935" t="str">
        <f>IF('Język - Language'!$B$30="Polski","EMISJA ODSŁONOWA","CPM EMISSION")</f>
        <v>EMISJA ODSŁONOWA</v>
      </c>
      <c r="C10" s="348" t="s">
        <v>147</v>
      </c>
      <c r="D10" s="333" t="str">
        <f>IF('Język - Language'!$B$30="Polski","WPM Zasięg (bez stron głównych o2 i WP oraz bez serwisów pocztowych)","WPM Reach (without o2 HP, WP HP and e-mail services)")</f>
        <v>WPM Zasięg (bez stron głównych o2 i WP oraz bez serwisów pocztowych)</v>
      </c>
      <c r="E10" s="989" t="s">
        <v>59</v>
      </c>
      <c r="F10" s="337">
        <v>80</v>
      </c>
      <c r="G10" s="337">
        <v>120</v>
      </c>
      <c r="H10" s="337">
        <v>10</v>
      </c>
      <c r="I10" s="337">
        <v>27</v>
      </c>
      <c r="J10" s="359"/>
      <c r="K10" s="269">
        <v>0.05</v>
      </c>
      <c r="L10" s="269">
        <v>0.08</v>
      </c>
    </row>
    <row r="11" spans="1:12" s="319" customFormat="1" ht="36" customHeight="1">
      <c r="B11" s="935"/>
      <c r="C11" s="349" t="str">
        <f>IF('Język - Language'!$B$30="Polski","WYBRANY KANAŁ / SERWIS","SELECTED CHANNEL / SERVICE")</f>
        <v>WYBRANY KANAŁ / SERWIS</v>
      </c>
      <c r="D11" s="334"/>
      <c r="E11" s="990"/>
      <c r="F11" s="243">
        <v>130</v>
      </c>
      <c r="G11" s="243">
        <v>195</v>
      </c>
      <c r="H11" s="243">
        <v>16</v>
      </c>
      <c r="I11" s="243" t="s">
        <v>59</v>
      </c>
      <c r="J11" s="359"/>
      <c r="K11" s="269">
        <v>7.4999999999999997E-2</v>
      </c>
      <c r="L11" s="269">
        <v>0.12</v>
      </c>
    </row>
    <row r="12" spans="1:12" s="263" customFormat="1" ht="36" customHeight="1">
      <c r="A12" s="319"/>
      <c r="B12" s="935"/>
      <c r="C12" s="295" t="str">
        <f>IF('Język - Language'!$B$30="Polski","BIZNES","BUSINESS")</f>
        <v>BIZNES</v>
      </c>
      <c r="D12" s="411" t="str">
        <f>'Serwisy &amp; Pakiety'!D33:E33</f>
        <v>WP Finanse, Portal Money.pl</v>
      </c>
      <c r="E12" s="990"/>
      <c r="F12" s="243">
        <v>120</v>
      </c>
      <c r="G12" s="243">
        <v>180</v>
      </c>
      <c r="H12" s="243">
        <v>15</v>
      </c>
      <c r="I12" s="243">
        <v>90</v>
      </c>
      <c r="J12" s="359"/>
      <c r="K12" s="338">
        <v>0.1</v>
      </c>
      <c r="L12" s="338">
        <v>0.16</v>
      </c>
    </row>
    <row r="13" spans="1:12" s="263" customFormat="1" ht="42" customHeight="1">
      <c r="A13" s="319"/>
      <c r="B13" s="935"/>
      <c r="C13" s="293" t="str">
        <f>IF('Język - Language'!$B$30="Polski","INFO I SPORT","INFO AND SPORT")</f>
        <v>INFO I SPORT</v>
      </c>
      <c r="D13" s="411" t="str">
        <f>'Serwisy &amp; Pakiety'!D39:E39</f>
        <v>WP Wiadomości, WP Opinie, WP Pogoda, WP SportoweFakty, Wawalove</v>
      </c>
      <c r="E13" s="990"/>
      <c r="F13" s="243">
        <v>100</v>
      </c>
      <c r="G13" s="243">
        <v>150</v>
      </c>
      <c r="H13" s="242">
        <v>14</v>
      </c>
      <c r="I13" s="331">
        <v>55</v>
      </c>
      <c r="J13" s="359"/>
      <c r="K13" s="339">
        <v>6.5000000000000002E-2</v>
      </c>
      <c r="L13" s="339">
        <v>0.10400000000000001</v>
      </c>
    </row>
    <row r="14" spans="1:12" s="263" customFormat="1" ht="36" customHeight="1">
      <c r="A14" s="319"/>
      <c r="B14" s="935"/>
      <c r="C14" s="295" t="str">
        <f>IF('Język - Language'!$B$30="Polski","MOTORYZACJA","AUTOMOTIVE")</f>
        <v>MOTORYZACJA</v>
      </c>
      <c r="D14" s="411" t="str">
        <f>'Serwisy &amp; Pakiety'!D42:E42</f>
        <v>WP Autokult, WP Moto</v>
      </c>
      <c r="E14" s="990"/>
      <c r="F14" s="243">
        <v>100</v>
      </c>
      <c r="G14" s="243">
        <v>150</v>
      </c>
      <c r="H14" s="242">
        <v>14</v>
      </c>
      <c r="I14" s="243">
        <v>45</v>
      </c>
      <c r="J14" s="359"/>
      <c r="K14" s="338">
        <v>6.5000000000000002E-2</v>
      </c>
      <c r="L14" s="338">
        <v>0.10400000000000001</v>
      </c>
    </row>
    <row r="15" spans="1:12" ht="42" customHeight="1">
      <c r="B15" s="935"/>
      <c r="C15" s="293" t="str">
        <f>IF('Język - Language'!$B$30="Polski","ROZRYWKA","FUN")</f>
        <v>ROZRYWKA</v>
      </c>
      <c r="D15" s="411" t="str">
        <f>'Serwisy &amp; Pakiety'!D54:E54</f>
        <v>WP Film, WP Gwiazdy, WP Książki, WP Program TV, WP Teleshow, WP Pilot, WP Wideo, Pudelek, o2 serwisy, o2 warstwy, OpenFM</v>
      </c>
      <c r="E15" s="990"/>
      <c r="F15" s="243">
        <v>90</v>
      </c>
      <c r="G15" s="243">
        <v>135</v>
      </c>
      <c r="H15" s="242">
        <v>12</v>
      </c>
      <c r="I15" s="243">
        <v>30</v>
      </c>
      <c r="J15" s="359"/>
      <c r="K15" s="338">
        <v>5.5000000000000007E-2</v>
      </c>
      <c r="L15" s="338">
        <v>8.8000000000000023E-2</v>
      </c>
    </row>
    <row r="16" spans="1:12" ht="42" customHeight="1">
      <c r="B16" s="935"/>
      <c r="C16" s="295" t="str">
        <f>IF('Język - Language'!$B$30="Polski","STYL ŻYCIA","LIFESTYLE")</f>
        <v>STYL ŻYCIA</v>
      </c>
      <c r="D16" s="411" t="str">
        <f>'Serwisy &amp; Pakiety'!D64:E64</f>
        <v>WP abcZdrowie, WP Facet, WP Kobieta, Kafeteria.pl, WP Kuchnia, WP Parenting, WP Program TV, WP Turystyka, OpenFM</v>
      </c>
      <c r="E16" s="990"/>
      <c r="F16" s="243">
        <v>100</v>
      </c>
      <c r="G16" s="243">
        <v>150</v>
      </c>
      <c r="H16" s="242">
        <v>14</v>
      </c>
      <c r="I16" s="242">
        <v>45</v>
      </c>
      <c r="J16" s="359"/>
      <c r="K16" s="338">
        <v>6.5000000000000002E-2</v>
      </c>
      <c r="L16" s="338">
        <v>0.10400000000000001</v>
      </c>
    </row>
    <row r="17" spans="1:12" ht="42" customHeight="1">
      <c r="B17" s="935"/>
      <c r="C17" s="295" t="str">
        <f>IF('Język - Language'!$B$30="Polski","TECHNOLOGIA","TECHNOLOGY")</f>
        <v>TECHNOLOGIA</v>
      </c>
      <c r="D17" s="411" t="str">
        <f>IF('Język - Language'!$B$30="Polski","WP Tech, WP Gry, WP Fotoblogia, WP Gadżetomania, WP Komórkomania, dobreprogramy.pl","WP Tech, WP Gry, WP Fotoblogia, WP Gadżetomania, WP Komórkomania, dobreprogramy.pl")</f>
        <v>WP Tech, WP Gry, WP Fotoblogia, WP Gadżetomania, WP Komórkomania, dobreprogramy.pl</v>
      </c>
      <c r="E17" s="990"/>
      <c r="F17" s="331">
        <v>100</v>
      </c>
      <c r="G17" s="331">
        <v>150</v>
      </c>
      <c r="H17" s="242">
        <v>14</v>
      </c>
      <c r="I17" s="243">
        <v>45</v>
      </c>
      <c r="J17" s="359"/>
      <c r="K17" s="338">
        <v>6.5000000000000002E-2</v>
      </c>
      <c r="L17" s="338">
        <v>0.10400000000000001</v>
      </c>
    </row>
    <row r="18" spans="1:12" s="49" customFormat="1" ht="36" customHeight="1">
      <c r="A18" s="319"/>
      <c r="B18" s="935"/>
      <c r="C18" s="295" t="str">
        <f>IF('Język - Language'!$B$30="Polski","ZDROWIE I PARENTING","HEALTH AND PARENTING")</f>
        <v>ZDROWIE I PARENTING</v>
      </c>
      <c r="D18" s="411" t="str">
        <f>'Serwisy &amp; Pakiety'!D77:E77</f>
        <v>WP abcZdrowie, WP Fitness, WP Parenting, Medycyna24, Nerwica.com</v>
      </c>
      <c r="E18" s="991"/>
      <c r="F18" s="243">
        <v>180</v>
      </c>
      <c r="G18" s="243">
        <v>240</v>
      </c>
      <c r="H18" s="242">
        <v>17</v>
      </c>
      <c r="I18" s="535">
        <v>83</v>
      </c>
      <c r="J18" s="359"/>
      <c r="K18" s="338">
        <v>0.1</v>
      </c>
      <c r="L18" s="338">
        <v>0.16000000000000003</v>
      </c>
    </row>
    <row r="19" spans="1:12" s="319" customFormat="1" ht="36" customHeight="1">
      <c r="B19" s="935"/>
      <c r="C19" s="295" t="str">
        <f>IF('Język - Language'!$B$30="Polski","WIDEO I AUDIO","VIDEO AND AUDIO")</f>
        <v>WIDEO I AUDIO</v>
      </c>
      <c r="D19" s="411" t="str">
        <f>'Serwisy &amp; Pakiety'!D81:E81</f>
        <v>WP Pilot, WP Wideo, OpenFM</v>
      </c>
      <c r="E19" s="336" t="s">
        <v>76</v>
      </c>
      <c r="F19" s="243">
        <v>120</v>
      </c>
      <c r="G19" s="243">
        <v>180</v>
      </c>
      <c r="H19" s="331">
        <v>15</v>
      </c>
      <c r="I19" s="243">
        <v>45</v>
      </c>
      <c r="J19" s="359"/>
      <c r="K19" s="338">
        <v>0.1</v>
      </c>
      <c r="L19" s="338">
        <v>0.16</v>
      </c>
    </row>
    <row r="20" spans="1:12" s="319" customFormat="1" ht="52.5" customHeight="1">
      <c r="B20" s="935"/>
      <c r="C20" s="558" t="str">
        <f>IF('Język - Language'!$B$30="Polski","PAKIET SPECJALNY 'KOBIETA'","DEDICATED PACKAGE 'WOMAN'")</f>
        <v>PAKIET SPECJALNY 'KOBIETA'</v>
      </c>
      <c r="D20" s="557" t="str">
        <f>'Serwisy &amp; Pakiety'!D92:E92</f>
        <v>Kafeteria.pl, WP Kobieta, Pudelek, WP Gwiazdy, WP Kuchnia, WP Fitness, WP abcZdrowie, WP Parenting, WP Teleshow, WP Książki</v>
      </c>
      <c r="E20" s="992" t="s">
        <v>59</v>
      </c>
      <c r="F20" s="242">
        <v>120</v>
      </c>
      <c r="G20" s="242">
        <v>180</v>
      </c>
      <c r="H20" s="243">
        <v>15</v>
      </c>
      <c r="I20" s="242">
        <v>45</v>
      </c>
      <c r="J20" s="359"/>
      <c r="K20" s="269">
        <v>0.1</v>
      </c>
      <c r="L20" s="269">
        <v>0.16</v>
      </c>
    </row>
    <row r="21" spans="1:12" s="319" customFormat="1" ht="52.5" customHeight="1">
      <c r="B21" s="935"/>
      <c r="C21" s="558" t="str">
        <f>IF('Język - Language'!$B$30="Polski","PAKIET SPECJALNY 'MĘŻCZYZNA'","DEDICATED PACKAGE 'MAN'")</f>
        <v>PAKIET SPECJALNY 'MĘŻCZYZNA'</v>
      </c>
      <c r="D21" s="557" t="str">
        <f>'Serwisy &amp; Pakiety'!D105:E105</f>
        <v>WP SportoweFakty, WP Facet, WP Moto, WP Tech, WP Autokult, WP Fotoblogia, WP Gadżetomania, WP Komórkomania, WP Gry, WP Pilot, WP Film, dobreprogramy.pl⁵</v>
      </c>
      <c r="E21" s="991"/>
      <c r="F21" s="242">
        <v>120</v>
      </c>
      <c r="G21" s="242">
        <v>180</v>
      </c>
      <c r="H21" s="331">
        <v>15</v>
      </c>
      <c r="I21" s="242">
        <v>45</v>
      </c>
      <c r="J21" s="359"/>
      <c r="K21" s="269">
        <v>0.1</v>
      </c>
      <c r="L21" s="269">
        <v>0.16</v>
      </c>
    </row>
    <row r="22" spans="1:12" ht="36" customHeight="1">
      <c r="B22" s="935"/>
      <c r="C22" s="295" t="s">
        <v>77</v>
      </c>
      <c r="D22" s="335"/>
      <c r="E22" s="419" t="s">
        <v>59</v>
      </c>
      <c r="F22" s="242">
        <v>110</v>
      </c>
      <c r="G22" s="242">
        <v>165</v>
      </c>
      <c r="H22" s="243">
        <v>15</v>
      </c>
      <c r="I22" s="242">
        <v>67</v>
      </c>
      <c r="J22" s="359"/>
      <c r="K22" s="269">
        <v>7.4999999999999997E-2</v>
      </c>
      <c r="L22" s="269">
        <v>0.12</v>
      </c>
    </row>
    <row r="23" spans="1:12" s="53" customFormat="1" ht="42" customHeight="1">
      <c r="A23" s="319"/>
      <c r="B23" s="935"/>
      <c r="C23" s="294" t="str">
        <f>IF('Język - Language'!$B$30="Polski","OutStream²","OutStream²")</f>
        <v>OutStream²</v>
      </c>
      <c r="D23" s="379" t="str">
        <f>IF('Język - Language'!$B$30="Polski","WP Wiadomości, WP Finanse, WP Kobieta, WP Kuchnia, Kafeteria, WP SportoweFakty, WP Facet","WP Wiadomości, WP Finanse, WP Kobieta, WP Kuchnia, Kafeteria, WP SportoweFakty, WP Facet")</f>
        <v>WP Wiadomości, WP Finanse, WP Kobieta, WP Kuchnia, Kafeteria, WP SportoweFakty, WP Facet</v>
      </c>
      <c r="E23" s="981">
        <v>110</v>
      </c>
      <c r="F23" s="982"/>
      <c r="G23" s="982"/>
      <c r="H23" s="982"/>
      <c r="I23" s="983"/>
      <c r="J23" s="359"/>
      <c r="K23" s="359"/>
      <c r="L23" s="359"/>
    </row>
    <row r="24" spans="1:12" s="47" customFormat="1" ht="12.75" customHeight="1">
      <c r="A24" s="319"/>
      <c r="B24" s="313"/>
      <c r="C24" s="271" t="str">
        <f>IF('Język - Language'!$B$30="Polski","¹ emisja spotu z tapetą 150%","¹ emission of preroll with watermark 150%")</f>
        <v>¹ emisja spotu z tapetą 150%</v>
      </c>
      <c r="D24" s="271"/>
      <c r="E24" s="270"/>
      <c r="F24" s="270"/>
      <c r="G24" s="270"/>
      <c r="H24" s="359"/>
      <c r="I24" s="359"/>
      <c r="J24" s="359"/>
      <c r="K24" s="359"/>
      <c r="L24" s="359"/>
    </row>
    <row r="25" spans="1:12">
      <c r="B25" s="319"/>
      <c r="C25" s="272" t="str">
        <f>IF('Język - Language'!$B$30="Polski","² OutStream - dotyczy emisji tylko na wybranych serwisach, niedostępny dla modelu SkipAd","² OutStream - available only in selected sites, not avaible for SkipAd")</f>
        <v>² OutStream - dotyczy emisji tylko na wybranych serwisach, niedostępny dla modelu SkipAd</v>
      </c>
      <c r="D25" s="273"/>
      <c r="E25" s="270"/>
      <c r="F25" s="270"/>
      <c r="G25" s="270"/>
      <c r="H25" s="359"/>
      <c r="I25" s="359"/>
      <c r="J25" s="359"/>
      <c r="K25" s="359"/>
      <c r="L25" s="359"/>
    </row>
    <row r="26" spans="1:12">
      <c r="B26" s="319"/>
      <c r="C26" s="359" t="str">
        <f>IF('Język - Language'!$B$30="Polski","³ W przypadku emisji in-stream video z kodów emisyjnych dopłata +20% do CPM. Dopłata ta dopuszcza ewentualną doemisję maksymalnie 20% różnicy pomiędzy statystykami po stronie klienta i po stronie WPM.","³ In case of Instream Video Ad broadcast from external codes, the extra charge of 20% applies")</f>
        <v>³ W przypadku emisji in-stream video z kodów emisyjnych dopłata +20% do CPM. Dopłata ta dopuszcza ewentualną doemisję maksymalnie 20% różnicy pomiędzy statystykami po stronie klienta i po stronie WPM.</v>
      </c>
      <c r="D26" s="1"/>
      <c r="E26" s="319"/>
      <c r="F26" s="319"/>
      <c r="G26" s="319"/>
      <c r="H26" s="319"/>
      <c r="I26" s="319"/>
      <c r="J26" s="359"/>
      <c r="K26" s="319"/>
      <c r="L26" s="319"/>
    </row>
    <row r="27" spans="1:12">
      <c r="B27" s="319"/>
      <c r="C27" s="359" t="str">
        <f>IF('Język - Language'!$B$30="Polski",CONCATENATE("⁴ InStream Video 30",CHAR(34),"+ tylko w modelu SkipAd"),CONCATENATE("⁴ InStream Video 30",CHAR(34),"+ only for SkipAd"))</f>
        <v>⁴ InStream Video 30"+ tylko w modelu SkipAd</v>
      </c>
      <c r="D27" s="319"/>
      <c r="E27" s="319"/>
      <c r="F27" s="319"/>
      <c r="G27" s="319"/>
      <c r="H27" s="319"/>
      <c r="I27" s="319"/>
      <c r="J27" s="319"/>
      <c r="K27" s="319"/>
      <c r="L27" s="319"/>
    </row>
    <row r="28" spans="1:12">
      <c r="B28" s="319"/>
      <c r="C28" s="319"/>
      <c r="D28" s="319"/>
      <c r="E28" s="319"/>
      <c r="F28" s="319"/>
      <c r="G28" s="319"/>
      <c r="H28" s="319"/>
      <c r="I28" s="319"/>
      <c r="J28" s="319"/>
      <c r="K28" s="319"/>
      <c r="L28" s="319"/>
    </row>
    <row r="29" spans="1:12">
      <c r="B29" s="319"/>
      <c r="C29" s="319"/>
      <c r="D29" s="319"/>
      <c r="E29" s="319"/>
      <c r="F29" s="319"/>
      <c r="G29" s="319"/>
      <c r="H29" s="319"/>
      <c r="I29" s="319"/>
      <c r="J29" s="319"/>
      <c r="K29" s="319"/>
      <c r="L29" s="319"/>
    </row>
    <row r="30" spans="1:12">
      <c r="B30" s="319"/>
      <c r="C30" s="319"/>
      <c r="D30" s="319"/>
      <c r="E30" s="319"/>
      <c r="F30" s="319"/>
      <c r="G30" s="319"/>
      <c r="H30" s="319"/>
      <c r="I30" s="319"/>
      <c r="J30" s="319"/>
      <c r="K30" s="319"/>
      <c r="L30" s="319"/>
    </row>
    <row r="31" spans="1:12" ht="15">
      <c r="B31" s="319"/>
      <c r="C31" s="319"/>
      <c r="D31" s="454"/>
      <c r="E31" s="319"/>
      <c r="F31" s="319"/>
      <c r="G31" s="319"/>
      <c r="H31" s="319"/>
      <c r="I31" s="319"/>
      <c r="J31" s="319"/>
      <c r="K31" s="319"/>
      <c r="L31" s="319"/>
    </row>
    <row r="32" spans="1:12">
      <c r="B32" s="319"/>
      <c r="C32" s="319"/>
      <c r="D32" s="319"/>
      <c r="E32" s="319"/>
      <c r="F32" s="319"/>
      <c r="G32" s="319"/>
      <c r="H32" s="319"/>
      <c r="I32" s="319"/>
      <c r="J32" s="319"/>
      <c r="K32" s="319"/>
      <c r="L32" s="319"/>
    </row>
    <row r="33" spans="2:12">
      <c r="B33" s="319"/>
      <c r="C33" s="319"/>
      <c r="D33" s="319"/>
      <c r="E33" s="319"/>
      <c r="F33" s="319"/>
      <c r="G33" s="319"/>
      <c r="H33" s="319"/>
      <c r="I33" s="319"/>
      <c r="J33" s="319"/>
      <c r="K33" s="319"/>
      <c r="L33" s="319"/>
    </row>
    <row r="34" spans="2:12">
      <c r="B34" s="319"/>
      <c r="C34" s="319"/>
      <c r="D34" s="319"/>
      <c r="E34" s="319"/>
      <c r="F34" s="319"/>
      <c r="G34" s="319"/>
      <c r="H34" s="319"/>
      <c r="I34" s="319"/>
      <c r="J34" s="319"/>
      <c r="K34" s="319"/>
      <c r="L34" s="319"/>
    </row>
    <row r="35" spans="2:12">
      <c r="C35" s="319"/>
      <c r="D35" s="319"/>
      <c r="E35" s="319"/>
      <c r="F35" s="319"/>
      <c r="G35" s="319"/>
      <c r="H35" s="319"/>
      <c r="I35" s="319"/>
    </row>
    <row r="36" spans="2:12">
      <c r="C36" s="319"/>
      <c r="D36" s="319"/>
      <c r="E36" s="319"/>
      <c r="F36" s="319"/>
      <c r="G36" s="319"/>
      <c r="H36" s="319"/>
      <c r="I36" s="319"/>
    </row>
    <row r="37" spans="2:12">
      <c r="C37" s="319"/>
      <c r="D37" s="319"/>
      <c r="E37" s="319"/>
      <c r="F37" s="319"/>
      <c r="G37" s="319"/>
      <c r="H37" s="319"/>
      <c r="I37" s="319"/>
    </row>
    <row r="38" spans="2:12">
      <c r="C38" s="319"/>
      <c r="D38" s="319"/>
      <c r="E38" s="319"/>
      <c r="F38" s="319"/>
      <c r="G38" s="319"/>
      <c r="H38" s="319"/>
      <c r="I38" s="319"/>
    </row>
    <row r="39" spans="2:12">
      <c r="C39" s="319"/>
      <c r="D39" s="319"/>
      <c r="E39" s="319"/>
      <c r="F39" s="319"/>
      <c r="G39" s="319"/>
      <c r="H39" s="319"/>
      <c r="I39" s="319"/>
    </row>
    <row r="40" spans="2:12">
      <c r="C40" s="319"/>
      <c r="D40" s="319"/>
      <c r="E40" s="319"/>
      <c r="F40" s="319"/>
      <c r="G40" s="319"/>
      <c r="H40" s="319"/>
      <c r="I40" s="319"/>
    </row>
    <row r="41" spans="2:12">
      <c r="C41" s="319"/>
      <c r="D41" s="319"/>
      <c r="E41" s="319"/>
      <c r="F41" s="319"/>
      <c r="G41" s="319"/>
      <c r="H41" s="319"/>
      <c r="I41" s="319"/>
    </row>
    <row r="42" spans="2:12">
      <c r="C42" s="319"/>
      <c r="D42" s="319"/>
      <c r="E42" s="319"/>
      <c r="F42" s="319"/>
      <c r="G42" s="319"/>
      <c r="H42" s="319"/>
      <c r="I42" s="319"/>
    </row>
    <row r="43" spans="2:12">
      <c r="C43" s="319"/>
      <c r="D43" s="319"/>
      <c r="E43" s="319"/>
      <c r="F43" s="319"/>
      <c r="G43" s="319"/>
      <c r="H43" s="319"/>
      <c r="I43" s="319"/>
    </row>
    <row r="44" spans="2:12">
      <c r="C44" s="319"/>
      <c r="D44" s="319"/>
      <c r="E44" s="319"/>
      <c r="F44" s="319"/>
      <c r="G44" s="319"/>
      <c r="H44" s="319"/>
      <c r="I44" s="319"/>
    </row>
    <row r="45" spans="2:12">
      <c r="C45" s="319"/>
      <c r="D45" s="319"/>
      <c r="E45" s="319"/>
      <c r="F45" s="319"/>
      <c r="G45" s="319"/>
      <c r="H45" s="319"/>
      <c r="I45" s="319"/>
    </row>
    <row r="46" spans="2:12">
      <c r="C46" s="319"/>
      <c r="D46" s="319"/>
      <c r="E46" s="319"/>
      <c r="F46" s="319"/>
      <c r="G46" s="319"/>
      <c r="H46" s="319"/>
      <c r="I46" s="319"/>
    </row>
    <row r="47" spans="2:12">
      <c r="C47" s="319"/>
      <c r="D47" s="319"/>
      <c r="E47" s="319"/>
      <c r="F47" s="319"/>
      <c r="G47" s="319"/>
      <c r="H47" s="319"/>
      <c r="I47" s="319"/>
    </row>
    <row r="48" spans="2:12">
      <c r="C48" s="319"/>
      <c r="D48" s="319"/>
      <c r="E48" s="319"/>
      <c r="F48" s="319"/>
      <c r="G48" s="319"/>
      <c r="H48" s="319"/>
      <c r="I48" s="319"/>
    </row>
    <row r="49" spans="3:9">
      <c r="C49" s="319"/>
      <c r="D49" s="319"/>
      <c r="E49" s="319"/>
      <c r="F49" s="319"/>
      <c r="G49" s="319"/>
      <c r="H49" s="319"/>
      <c r="I49" s="319"/>
    </row>
    <row r="50" spans="3:9">
      <c r="C50" s="319"/>
      <c r="D50" s="319"/>
      <c r="E50" s="319"/>
      <c r="F50" s="319"/>
      <c r="G50" s="319"/>
      <c r="H50" s="319"/>
      <c r="I50" s="319"/>
    </row>
    <row r="51" spans="3:9">
      <c r="C51" s="319"/>
      <c r="D51" s="319"/>
      <c r="E51" s="319"/>
      <c r="F51" s="319"/>
      <c r="G51" s="319"/>
      <c r="H51" s="319"/>
      <c r="I51" s="319"/>
    </row>
    <row r="52" spans="3:9">
      <c r="C52" s="319"/>
      <c r="D52" s="319"/>
      <c r="E52" s="319"/>
      <c r="F52" s="319"/>
      <c r="G52" s="319"/>
      <c r="H52" s="319"/>
      <c r="I52" s="319"/>
    </row>
    <row r="53" spans="3:9">
      <c r="C53" s="319"/>
      <c r="D53" s="319"/>
      <c r="E53" s="319"/>
      <c r="F53" s="319"/>
      <c r="G53" s="319"/>
      <c r="H53" s="319"/>
      <c r="I53" s="319"/>
    </row>
    <row r="54" spans="3:9">
      <c r="C54" s="319"/>
      <c r="D54" s="319"/>
      <c r="E54" s="319"/>
      <c r="F54" s="319"/>
      <c r="G54" s="319"/>
      <c r="H54" s="319"/>
      <c r="I54" s="319"/>
    </row>
    <row r="55" spans="3:9">
      <c r="C55" s="319"/>
      <c r="D55" s="319"/>
      <c r="E55" s="319"/>
      <c r="F55" s="319"/>
      <c r="G55" s="319"/>
      <c r="H55" s="319"/>
      <c r="I55" s="319"/>
    </row>
    <row r="56" spans="3:9">
      <c r="C56" s="319"/>
      <c r="D56" s="319"/>
      <c r="E56" s="319"/>
      <c r="F56" s="319"/>
      <c r="G56" s="319"/>
      <c r="H56" s="319"/>
      <c r="I56" s="319"/>
    </row>
    <row r="57" spans="3:9">
      <c r="C57" s="319"/>
      <c r="D57" s="319"/>
      <c r="E57" s="319"/>
      <c r="F57" s="319"/>
      <c r="G57" s="319"/>
      <c r="H57" s="319"/>
      <c r="I57" s="319"/>
    </row>
    <row r="58" spans="3:9">
      <c r="C58" s="319"/>
      <c r="D58" s="319"/>
      <c r="E58" s="319"/>
      <c r="F58" s="319"/>
      <c r="G58" s="319"/>
      <c r="H58" s="319"/>
      <c r="I58" s="319"/>
    </row>
    <row r="59" spans="3:9">
      <c r="C59" s="319"/>
      <c r="D59" s="319"/>
      <c r="E59" s="319"/>
      <c r="F59" s="319"/>
      <c r="G59" s="319"/>
      <c r="H59" s="319"/>
      <c r="I59" s="319"/>
    </row>
    <row r="60" spans="3:9">
      <c r="C60" s="319"/>
      <c r="D60" s="319"/>
      <c r="E60" s="319"/>
      <c r="F60" s="319"/>
      <c r="G60" s="319"/>
      <c r="H60" s="319"/>
      <c r="I60" s="319"/>
    </row>
    <row r="61" spans="3:9">
      <c r="C61" s="319"/>
      <c r="D61" s="319"/>
      <c r="E61" s="319"/>
      <c r="F61" s="319"/>
      <c r="G61" s="319"/>
      <c r="H61" s="319"/>
      <c r="I61" s="319"/>
    </row>
    <row r="62" spans="3:9">
      <c r="C62" s="319"/>
      <c r="D62" s="319"/>
      <c r="E62" s="319"/>
      <c r="F62" s="319"/>
      <c r="G62" s="319"/>
      <c r="H62" s="319"/>
      <c r="I62" s="319"/>
    </row>
    <row r="63" spans="3:9">
      <c r="C63" s="319"/>
      <c r="D63" s="319"/>
      <c r="E63" s="319"/>
      <c r="F63" s="319"/>
      <c r="G63" s="319"/>
      <c r="H63" s="319"/>
      <c r="I63" s="319"/>
    </row>
    <row r="64" spans="3:9">
      <c r="C64" s="319"/>
      <c r="D64" s="319"/>
      <c r="E64" s="319"/>
      <c r="F64" s="319"/>
      <c r="G64" s="319"/>
      <c r="H64" s="319"/>
      <c r="I64" s="319"/>
    </row>
    <row r="65" spans="3:9">
      <c r="C65" s="319"/>
      <c r="D65" s="319"/>
      <c r="E65" s="319"/>
      <c r="F65" s="319"/>
      <c r="G65" s="319"/>
      <c r="H65" s="319"/>
      <c r="I65" s="319"/>
    </row>
    <row r="66" spans="3:9">
      <c r="C66" s="319"/>
      <c r="D66" s="319"/>
      <c r="E66" s="319"/>
      <c r="F66" s="319"/>
      <c r="G66" s="319"/>
      <c r="H66" s="319"/>
      <c r="I66" s="319"/>
    </row>
    <row r="67" spans="3:9">
      <c r="C67" s="319"/>
      <c r="D67" s="319"/>
      <c r="E67" s="319"/>
      <c r="F67" s="319"/>
      <c r="G67" s="319"/>
      <c r="H67" s="319"/>
      <c r="I67" s="319"/>
    </row>
    <row r="68" spans="3:9">
      <c r="C68" s="319"/>
      <c r="D68" s="319"/>
      <c r="E68" s="319"/>
      <c r="F68" s="319"/>
      <c r="G68" s="319"/>
      <c r="H68" s="319"/>
      <c r="I68" s="319"/>
    </row>
    <row r="69" spans="3:9">
      <c r="C69" s="319"/>
      <c r="D69" s="319"/>
      <c r="E69" s="319"/>
      <c r="F69" s="319"/>
      <c r="G69" s="319"/>
      <c r="H69" s="319"/>
      <c r="I69" s="319"/>
    </row>
    <row r="70" spans="3:9">
      <c r="C70" s="319"/>
      <c r="D70" s="319"/>
      <c r="E70" s="319"/>
      <c r="F70" s="319"/>
      <c r="G70" s="319"/>
      <c r="H70" s="319"/>
      <c r="I70" s="319"/>
    </row>
    <row r="71" spans="3:9">
      <c r="C71" s="319"/>
      <c r="D71" s="319"/>
      <c r="E71" s="319"/>
      <c r="F71" s="319"/>
      <c r="G71" s="319"/>
      <c r="H71" s="319"/>
      <c r="I71" s="319"/>
    </row>
    <row r="72" spans="3:9">
      <c r="C72" s="319"/>
      <c r="D72" s="319"/>
      <c r="E72" s="319"/>
      <c r="F72" s="319"/>
      <c r="G72" s="319"/>
      <c r="H72" s="319"/>
      <c r="I72" s="319"/>
    </row>
    <row r="73" spans="3:9">
      <c r="C73" s="319"/>
      <c r="D73" s="319"/>
      <c r="E73" s="319"/>
      <c r="F73" s="319"/>
      <c r="G73" s="319"/>
      <c r="H73" s="319"/>
      <c r="I73" s="319"/>
    </row>
    <row r="74" spans="3:9">
      <c r="C74" s="319"/>
      <c r="D74" s="319"/>
      <c r="E74" s="319"/>
      <c r="F74" s="319"/>
      <c r="G74" s="319"/>
      <c r="H74" s="319"/>
      <c r="I74" s="319"/>
    </row>
    <row r="75" spans="3:9">
      <c r="C75" s="319"/>
      <c r="D75" s="319"/>
      <c r="E75" s="319"/>
      <c r="F75" s="319"/>
      <c r="G75" s="319"/>
      <c r="H75" s="319"/>
      <c r="I75" s="319"/>
    </row>
    <row r="76" spans="3:9">
      <c r="C76" s="319"/>
      <c r="D76" s="319"/>
      <c r="E76" s="319"/>
      <c r="F76" s="319"/>
      <c r="G76" s="319"/>
      <c r="H76" s="319"/>
      <c r="I76" s="319"/>
    </row>
    <row r="77" spans="3:9">
      <c r="C77" s="319"/>
      <c r="D77" s="319"/>
      <c r="E77" s="319"/>
      <c r="F77" s="319"/>
      <c r="G77" s="319"/>
      <c r="H77" s="319"/>
      <c r="I77" s="319"/>
    </row>
    <row r="78" spans="3:9">
      <c r="C78" s="319"/>
      <c r="D78" s="319"/>
      <c r="E78" s="319"/>
      <c r="F78" s="319"/>
      <c r="G78" s="319"/>
      <c r="H78" s="319"/>
      <c r="I78" s="319"/>
    </row>
    <row r="79" spans="3:9">
      <c r="C79" s="319"/>
      <c r="D79" s="319"/>
      <c r="E79" s="319"/>
      <c r="F79" s="319"/>
      <c r="G79" s="319"/>
      <c r="H79" s="319"/>
      <c r="I79" s="319"/>
    </row>
    <row r="80" spans="3:9">
      <c r="C80" s="319"/>
      <c r="D80" s="319"/>
      <c r="E80" s="319"/>
      <c r="F80" s="319"/>
      <c r="G80" s="319"/>
      <c r="H80" s="319"/>
      <c r="I80" s="319"/>
    </row>
    <row r="81" spans="3:9">
      <c r="C81" s="319"/>
      <c r="D81" s="319"/>
      <c r="E81" s="319"/>
      <c r="F81" s="319"/>
      <c r="G81" s="319"/>
      <c r="H81" s="319"/>
      <c r="I81" s="319"/>
    </row>
    <row r="82" spans="3:9">
      <c r="C82" s="319"/>
      <c r="D82" s="319"/>
      <c r="E82" s="319"/>
      <c r="F82" s="319"/>
      <c r="G82" s="319"/>
      <c r="H82" s="319"/>
      <c r="I82" s="319"/>
    </row>
    <row r="83" spans="3:9">
      <c r="C83" s="319"/>
      <c r="D83" s="319"/>
      <c r="E83" s="319"/>
      <c r="F83" s="319"/>
      <c r="G83" s="319"/>
      <c r="H83" s="319"/>
      <c r="I83" s="319"/>
    </row>
    <row r="84" spans="3:9">
      <c r="C84" s="319"/>
      <c r="D84" s="319"/>
      <c r="E84" s="319"/>
      <c r="F84" s="319"/>
      <c r="G84" s="319"/>
      <c r="H84" s="319"/>
      <c r="I84" s="319"/>
    </row>
    <row r="85" spans="3:9">
      <c r="C85" s="319"/>
      <c r="D85" s="319"/>
      <c r="E85" s="319"/>
      <c r="F85" s="319"/>
      <c r="G85" s="319"/>
      <c r="H85" s="319"/>
      <c r="I85" s="319"/>
    </row>
    <row r="86" spans="3:9">
      <c r="C86" s="319"/>
      <c r="D86" s="319"/>
      <c r="E86" s="319"/>
      <c r="F86" s="319"/>
      <c r="G86" s="319"/>
      <c r="H86" s="319"/>
      <c r="I86" s="319"/>
    </row>
    <row r="87" spans="3:9">
      <c r="C87" s="319"/>
      <c r="D87" s="319"/>
      <c r="E87" s="319"/>
      <c r="F87" s="319"/>
      <c r="G87" s="319"/>
      <c r="H87" s="319"/>
      <c r="I87" s="319"/>
    </row>
    <row r="88" spans="3:9">
      <c r="C88" s="319"/>
      <c r="D88" s="319"/>
      <c r="E88" s="319"/>
      <c r="F88" s="319"/>
      <c r="G88" s="319"/>
      <c r="H88" s="319"/>
      <c r="I88" s="319"/>
    </row>
    <row r="89" spans="3:9">
      <c r="C89" s="319"/>
      <c r="D89" s="319"/>
      <c r="E89" s="319"/>
      <c r="F89" s="319"/>
      <c r="G89" s="319"/>
      <c r="H89" s="319"/>
      <c r="I89" s="319"/>
    </row>
    <row r="90" spans="3:9">
      <c r="C90" s="319"/>
      <c r="D90" s="319"/>
      <c r="E90" s="319"/>
      <c r="F90" s="319"/>
      <c r="G90" s="319"/>
      <c r="H90" s="319"/>
      <c r="I90" s="319"/>
    </row>
    <row r="91" spans="3:9">
      <c r="C91" s="319"/>
      <c r="D91" s="319"/>
      <c r="E91" s="319"/>
      <c r="F91" s="319"/>
      <c r="G91" s="319"/>
      <c r="H91" s="319"/>
      <c r="I91" s="319"/>
    </row>
    <row r="92" spans="3:9">
      <c r="C92" s="319"/>
      <c r="D92" s="319"/>
      <c r="E92" s="319"/>
      <c r="F92" s="319"/>
      <c r="G92" s="319"/>
      <c r="H92" s="319"/>
      <c r="I92" s="319"/>
    </row>
    <row r="93" spans="3:9">
      <c r="C93" s="319"/>
      <c r="D93" s="319"/>
      <c r="E93" s="319"/>
      <c r="F93" s="319"/>
      <c r="G93" s="319"/>
      <c r="H93" s="319"/>
      <c r="I93" s="319"/>
    </row>
    <row r="94" spans="3:9">
      <c r="C94" s="319"/>
      <c r="D94" s="319"/>
      <c r="E94" s="319"/>
      <c r="F94" s="319"/>
      <c r="G94" s="319"/>
      <c r="H94" s="319"/>
      <c r="I94" s="319"/>
    </row>
    <row r="95" spans="3:9">
      <c r="C95" s="319"/>
      <c r="D95" s="319"/>
      <c r="E95" s="319"/>
      <c r="F95" s="319"/>
      <c r="G95" s="319"/>
      <c r="H95" s="319"/>
      <c r="I95" s="319"/>
    </row>
    <row r="96" spans="3:9">
      <c r="C96" s="319"/>
      <c r="D96" s="319"/>
      <c r="E96" s="319"/>
      <c r="F96" s="319"/>
      <c r="G96" s="319"/>
      <c r="H96" s="319"/>
      <c r="I96" s="319"/>
    </row>
    <row r="97" spans="3:9">
      <c r="C97" s="319"/>
      <c r="D97" s="319"/>
      <c r="E97" s="319"/>
      <c r="F97" s="319"/>
      <c r="G97" s="319"/>
      <c r="H97" s="319"/>
      <c r="I97" s="319"/>
    </row>
    <row r="98" spans="3:9">
      <c r="C98" s="319"/>
      <c r="D98" s="319"/>
      <c r="E98" s="319"/>
      <c r="F98" s="319"/>
      <c r="G98" s="319"/>
      <c r="H98" s="319"/>
      <c r="I98" s="319"/>
    </row>
    <row r="99" spans="3:9">
      <c r="C99" s="319"/>
      <c r="D99" s="319"/>
      <c r="E99" s="319"/>
      <c r="F99" s="319"/>
      <c r="G99" s="319"/>
      <c r="H99" s="319"/>
      <c r="I99" s="319"/>
    </row>
    <row r="100" spans="3:9">
      <c r="C100" s="319"/>
      <c r="D100" s="319"/>
      <c r="E100" s="319"/>
      <c r="F100" s="319"/>
      <c r="G100" s="319"/>
      <c r="H100" s="319"/>
      <c r="I100" s="319"/>
    </row>
    <row r="101" spans="3:9">
      <c r="C101" s="319"/>
      <c r="D101" s="319"/>
      <c r="E101" s="319"/>
      <c r="F101" s="319"/>
      <c r="G101" s="319"/>
      <c r="H101" s="319"/>
      <c r="I101" s="319"/>
    </row>
    <row r="102" spans="3:9">
      <c r="C102" s="319"/>
      <c r="D102" s="319"/>
      <c r="E102" s="319"/>
      <c r="F102" s="319"/>
      <c r="G102" s="319"/>
      <c r="H102" s="319"/>
      <c r="I102" s="319"/>
    </row>
    <row r="103" spans="3:9">
      <c r="C103" s="319"/>
      <c r="D103" s="319"/>
      <c r="E103" s="319"/>
      <c r="F103" s="319"/>
      <c r="G103" s="319"/>
      <c r="H103" s="319"/>
      <c r="I103" s="319"/>
    </row>
    <row r="104" spans="3:9">
      <c r="C104" s="319"/>
      <c r="D104" s="319"/>
      <c r="E104" s="319"/>
      <c r="F104" s="319"/>
      <c r="G104" s="319"/>
      <c r="H104" s="319"/>
      <c r="I104" s="319"/>
    </row>
    <row r="105" spans="3:9">
      <c r="C105" s="319"/>
      <c r="D105" s="319"/>
      <c r="E105" s="319"/>
      <c r="F105" s="319"/>
      <c r="G105" s="319"/>
      <c r="H105" s="319"/>
      <c r="I105" s="319"/>
    </row>
    <row r="106" spans="3:9">
      <c r="C106" s="319"/>
      <c r="D106" s="319"/>
      <c r="E106" s="319"/>
      <c r="F106" s="319"/>
      <c r="G106" s="319"/>
      <c r="H106" s="319"/>
      <c r="I106" s="319"/>
    </row>
    <row r="107" spans="3:9">
      <c r="C107" s="319"/>
      <c r="D107" s="319"/>
      <c r="E107" s="319"/>
      <c r="F107" s="319"/>
      <c r="G107" s="319"/>
      <c r="H107" s="319"/>
      <c r="I107" s="319"/>
    </row>
    <row r="108" spans="3:9">
      <c r="C108" s="319"/>
      <c r="D108" s="319"/>
      <c r="E108" s="319"/>
      <c r="F108" s="319"/>
      <c r="G108" s="319"/>
      <c r="H108" s="319"/>
      <c r="I108" s="319"/>
    </row>
    <row r="109" spans="3:9">
      <c r="C109" s="319"/>
      <c r="D109" s="319"/>
      <c r="E109" s="319"/>
      <c r="F109" s="319"/>
      <c r="G109" s="319"/>
      <c r="H109" s="319"/>
      <c r="I109" s="319"/>
    </row>
    <row r="110" spans="3:9">
      <c r="C110" s="319"/>
      <c r="D110" s="319"/>
      <c r="E110" s="319"/>
      <c r="F110" s="319"/>
      <c r="G110" s="319"/>
      <c r="H110" s="319"/>
      <c r="I110" s="319"/>
    </row>
  </sheetData>
  <mergeCells count="12">
    <mergeCell ref="B10:B23"/>
    <mergeCell ref="C7:C9"/>
    <mergeCell ref="H1:L3"/>
    <mergeCell ref="H7:I7"/>
    <mergeCell ref="K7:L7"/>
    <mergeCell ref="E23:I23"/>
    <mergeCell ref="D7:D9"/>
    <mergeCell ref="F7:G7"/>
    <mergeCell ref="K8:L8"/>
    <mergeCell ref="E8:G8"/>
    <mergeCell ref="E10:E18"/>
    <mergeCell ref="E20:E21"/>
  </mergeCells>
  <pageMargins left="0.7" right="0.7" top="0.75" bottom="0.75" header="0.3" footer="0.3"/>
  <pageSetup paperSize="25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R37"/>
  <sheetViews>
    <sheetView zoomScaleNormal="100" workbookViewId="0">
      <pane ySplit="4" topLeftCell="A5" activePane="bottomLeft" state="frozen"/>
      <selection pane="bottomLeft"/>
    </sheetView>
  </sheetViews>
  <sheetFormatPr defaultColWidth="25" defaultRowHeight="12.75"/>
  <cols>
    <col min="1" max="1" width="5.5703125" style="2" customWidth="1"/>
    <col min="2" max="2" width="28.42578125" style="2" customWidth="1"/>
    <col min="3" max="3" width="20" style="2" customWidth="1"/>
    <col min="4" max="4" width="20" style="263" customWidth="1"/>
    <col min="5" max="9" width="20" style="2" customWidth="1"/>
    <col min="10" max="10" width="14.42578125" style="2" customWidth="1"/>
    <col min="11" max="16384" width="25" style="2"/>
  </cols>
  <sheetData>
    <row r="1" spans="1:9" ht="12.75" customHeight="1">
      <c r="A1" s="319"/>
      <c r="B1" s="319"/>
      <c r="C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D1" s="589"/>
      <c r="E1" s="589"/>
      <c r="F1" s="589"/>
      <c r="G1" s="589"/>
      <c r="H1" s="321"/>
    </row>
    <row r="2" spans="1:9" ht="12.75" customHeight="1">
      <c r="A2" s="319"/>
      <c r="B2" s="319"/>
      <c r="C2" s="589"/>
      <c r="D2" s="589"/>
      <c r="E2" s="589"/>
      <c r="F2" s="589"/>
      <c r="G2" s="589"/>
      <c r="H2" s="321"/>
    </row>
    <row r="3" spans="1:9" ht="12.75" customHeight="1">
      <c r="A3" s="319"/>
      <c r="B3" s="319"/>
      <c r="C3" s="589"/>
      <c r="D3" s="589"/>
      <c r="E3" s="589"/>
      <c r="F3" s="589"/>
      <c r="G3" s="589"/>
      <c r="H3" s="321"/>
    </row>
    <row r="4" spans="1:9" s="34" customFormat="1" ht="12.75" customHeight="1">
      <c r="A4" s="322"/>
      <c r="B4" s="35" t="str">
        <f>IF('Język - Language'!$B$30="Polski","            Poczta - Mailing reklamowy, emisje stałe","            Email service - Advertising mailing, flat fee emissions")</f>
        <v xml:space="preserve">            Poczta - Mailing reklamowy, emisje stałe</v>
      </c>
      <c r="C4" s="322"/>
      <c r="D4" s="322"/>
      <c r="E4" s="322"/>
      <c r="F4" s="322"/>
      <c r="G4" s="312" t="str">
        <f>IF('Język - Language'!$B$30="Polski","PL","EN")</f>
        <v>PL</v>
      </c>
      <c r="H4" s="322"/>
    </row>
    <row r="5" spans="1:9" ht="12.75" customHeight="1">
      <c r="A5" s="319"/>
      <c r="B5" s="319"/>
      <c r="C5" s="319"/>
      <c r="D5" s="319"/>
      <c r="E5" s="319"/>
      <c r="F5" s="319"/>
      <c r="G5" s="319"/>
      <c r="H5" s="319"/>
    </row>
    <row r="6" spans="1:9" ht="12.75" customHeight="1">
      <c r="A6" s="319"/>
      <c r="B6" s="313"/>
      <c r="C6" s="313"/>
      <c r="D6" s="313"/>
      <c r="E6" s="313"/>
      <c r="F6" s="313"/>
      <c r="G6" s="313"/>
      <c r="H6" s="319"/>
    </row>
    <row r="7" spans="1:9" ht="12.75" customHeight="1">
      <c r="A7" s="313"/>
      <c r="B7" s="856" t="str">
        <f>IF('Język - Language'!$B$30="Polski","MIEJSCE EMISJI","PLACE OF EMISSION")</f>
        <v>MIEJSCE EMISJI</v>
      </c>
      <c r="C7" s="626" t="str">
        <f>IF('Język - Language'!$B$30="Polski","FORMAT GRAFICZNY","ADVERTISING FORMAT
")</f>
        <v>FORMAT GRAFICZNY</v>
      </c>
      <c r="D7" s="381"/>
      <c r="E7" s="1007" t="s">
        <v>57</v>
      </c>
      <c r="F7" s="1007"/>
      <c r="G7" s="1007" t="s">
        <v>58</v>
      </c>
      <c r="H7" s="1008"/>
      <c r="I7" s="319"/>
    </row>
    <row r="8" spans="1:9" ht="12.75" customHeight="1">
      <c r="A8" s="313"/>
      <c r="B8" s="856"/>
      <c r="C8" s="626"/>
      <c r="D8" s="381"/>
      <c r="E8" s="406" t="str">
        <f>IF('Język - Language'!$B$30="Polski","DZIEŃ","DAY")</f>
        <v>DZIEŃ</v>
      </c>
      <c r="F8" s="381" t="str">
        <f>IF('Język - Language'!$B$30="Polski","TYDZIEŃ","WEEK")</f>
        <v>TYDZIEŃ</v>
      </c>
      <c r="G8" s="491" t="s">
        <v>159</v>
      </c>
      <c r="H8" s="407" t="str">
        <f>IF('Język - Language'!$B$30="Polski","TYDZIEŃ","WEEK")</f>
        <v>TYDZIEŃ</v>
      </c>
      <c r="I8" s="54"/>
    </row>
    <row r="9" spans="1:9" ht="12.75" customHeight="1">
      <c r="A9" s="319"/>
      <c r="B9" s="837" t="str">
        <f>IF('Język - Language'!$B$30="Polski","Strona logowania Poczty","Logging in")</f>
        <v>Strona logowania Poczty</v>
      </c>
      <c r="C9" s="654" t="str">
        <f>IF('Język - Language'!$B$30="Polski","Login Box","Login Box")</f>
        <v>Login Box</v>
      </c>
      <c r="D9" s="656"/>
      <c r="E9" s="331" t="s">
        <v>59</v>
      </c>
      <c r="F9" s="331">
        <v>350000</v>
      </c>
      <c r="G9" s="331" t="s">
        <v>59</v>
      </c>
      <c r="H9" s="234">
        <v>100000</v>
      </c>
      <c r="I9" s="319"/>
    </row>
    <row r="10" spans="1:9" s="51" customFormat="1" ht="12.75" customHeight="1">
      <c r="A10" s="319"/>
      <c r="B10" s="837"/>
      <c r="C10" s="606" t="str">
        <f>IF('Język - Language'!$B$30="Polski","Full Page Login Box","Full Page Login Box")</f>
        <v>Full Page Login Box</v>
      </c>
      <c r="D10" s="608"/>
      <c r="E10" s="235" t="s">
        <v>59</v>
      </c>
      <c r="F10" s="236">
        <v>615000</v>
      </c>
      <c r="G10" s="236" t="s">
        <v>59</v>
      </c>
      <c r="H10" s="237">
        <v>150000</v>
      </c>
      <c r="I10" s="319"/>
    </row>
    <row r="11" spans="1:9" s="51" customFormat="1" ht="12.75" customHeight="1">
      <c r="A11" s="319"/>
      <c r="B11" s="837"/>
      <c r="C11" s="606" t="str">
        <f>IF('Język - Language'!$B$30="Polski","Mobile Login Box","Mobile Login Box")</f>
        <v>Mobile Login Box</v>
      </c>
      <c r="D11" s="608"/>
      <c r="E11" s="235" t="s">
        <v>59</v>
      </c>
      <c r="F11" s="331">
        <v>240000</v>
      </c>
      <c r="G11" s="331" t="s">
        <v>59</v>
      </c>
      <c r="H11" s="190">
        <v>70000</v>
      </c>
      <c r="I11" s="319"/>
    </row>
    <row r="12" spans="1:9" s="51" customFormat="1" ht="12.75" customHeight="1">
      <c r="A12" s="319"/>
      <c r="B12" s="837"/>
      <c r="C12" s="606" t="str">
        <f>IF('Język - Language'!$B$30="Polski","Login Corner + Login Box","Login Corner + Login Box")</f>
        <v>Login Corner + Login Box</v>
      </c>
      <c r="D12" s="608"/>
      <c r="E12" s="235" t="s">
        <v>59</v>
      </c>
      <c r="F12" s="235" t="s">
        <v>59</v>
      </c>
      <c r="G12" s="235" t="s">
        <v>59</v>
      </c>
      <c r="H12" s="190">
        <v>165000</v>
      </c>
      <c r="I12" s="319"/>
    </row>
    <row r="13" spans="1:9" s="51" customFormat="1" ht="12.75" customHeight="1">
      <c r="A13" s="319"/>
      <c r="B13" s="837"/>
      <c r="C13" s="606" t="str">
        <f>IF('Język - Language'!$B$30="Polski","Login Corner + Full Page Login Box","Login Corner + Full Page Login Box")</f>
        <v>Login Corner + Full Page Login Box</v>
      </c>
      <c r="D13" s="608"/>
      <c r="E13" s="235" t="s">
        <v>59</v>
      </c>
      <c r="F13" s="235" t="s">
        <v>59</v>
      </c>
      <c r="G13" s="236" t="s">
        <v>59</v>
      </c>
      <c r="H13" s="190">
        <v>230000</v>
      </c>
      <c r="I13" s="319"/>
    </row>
    <row r="14" spans="1:9" ht="12.75" customHeight="1">
      <c r="A14" s="319"/>
      <c r="B14" s="837"/>
      <c r="C14" s="999" t="str">
        <f>IF('Język - Language'!$B$30="Polski","Login Corner + Full Page Login Box (desktop + mobile)","Login Corner + Full Page Login Box (desktop + mobile)")</f>
        <v>Login Corner + Full Page Login Box (desktop + mobile)</v>
      </c>
      <c r="D14" s="1000"/>
      <c r="E14" s="238" t="s">
        <v>59</v>
      </c>
      <c r="F14" s="239" t="s">
        <v>59</v>
      </c>
      <c r="G14" s="240" t="s">
        <v>59</v>
      </c>
      <c r="H14" s="240">
        <v>265000</v>
      </c>
      <c r="I14" s="319"/>
    </row>
    <row r="15" spans="1:9" s="263" customFormat="1" ht="12.75" customHeight="1">
      <c r="A15" s="319"/>
      <c r="B15" s="838"/>
      <c r="C15" s="1009" t="str">
        <f>IF('Język - Language'!$B$30="Polski","Login Box Poczta O2 + Login Corner SG O2","Login Box in Email Service O2 + Login Corner O2 HP")</f>
        <v>Login Box Poczta O2 + Login Corner SG O2</v>
      </c>
      <c r="D15" s="1010"/>
      <c r="E15" s="243" t="s">
        <v>59</v>
      </c>
      <c r="F15" s="311" t="s">
        <v>59</v>
      </c>
      <c r="G15" s="311" t="s">
        <v>59</v>
      </c>
      <c r="H15" s="311">
        <v>165000</v>
      </c>
      <c r="I15" s="319"/>
    </row>
    <row r="16" spans="1:9" s="56" customFormat="1" ht="12.75" customHeight="1">
      <c r="A16" s="319"/>
      <c r="B16" s="836" t="str">
        <f>IF('Język - Language'!$B$30="Polski","Interfejs Poczty","Email service interface")</f>
        <v>Interfejs Poczty</v>
      </c>
      <c r="C16" s="1001" t="str">
        <f>IF('Język - Language'!$B$30="Polski","Double Billboard¹","Double Billboard¹")</f>
        <v>Double Billboard¹</v>
      </c>
      <c r="D16" s="1002"/>
      <c r="E16" s="234">
        <v>90000</v>
      </c>
      <c r="F16" s="331">
        <v>300000</v>
      </c>
      <c r="G16" s="331" t="s">
        <v>59</v>
      </c>
      <c r="H16" s="331">
        <v>75000</v>
      </c>
      <c r="I16" s="319"/>
    </row>
    <row r="17" spans="1:18" s="56" customFormat="1" ht="12.75" customHeight="1">
      <c r="A17" s="319"/>
      <c r="B17" s="837"/>
      <c r="C17" s="1003" t="str">
        <f>IF('Język - Language'!$B$30="Polski","Panel Premium","Panel Premium")</f>
        <v>Panel Premium</v>
      </c>
      <c r="D17" s="1004"/>
      <c r="E17" s="239">
        <v>110000</v>
      </c>
      <c r="F17" s="238" t="s">
        <v>59</v>
      </c>
      <c r="G17" s="238">
        <v>35000</v>
      </c>
      <c r="H17" s="238" t="s">
        <v>59</v>
      </c>
      <c r="I17" s="319"/>
      <c r="J17" s="319"/>
      <c r="K17" s="319"/>
      <c r="L17" s="319"/>
      <c r="M17" s="319"/>
      <c r="N17" s="319"/>
      <c r="O17" s="319"/>
      <c r="P17" s="319"/>
      <c r="Q17" s="319"/>
      <c r="R17" s="319"/>
    </row>
    <row r="18" spans="1:18" s="50" customFormat="1" ht="12.75" customHeight="1">
      <c r="A18" s="319"/>
      <c r="B18" s="837"/>
      <c r="C18" s="1001" t="str">
        <f>IF('Język - Language'!$B$30="Polski","Left Box 170x200 (górny)","Left Box 170x200 (upper)")</f>
        <v>Left Box 170x200 (górny)</v>
      </c>
      <c r="D18" s="1002"/>
      <c r="E18" s="234" t="s">
        <v>59</v>
      </c>
      <c r="F18" s="241">
        <v>115000</v>
      </c>
      <c r="G18" s="502" t="s">
        <v>59</v>
      </c>
      <c r="H18" s="331">
        <v>90000</v>
      </c>
      <c r="I18" s="319"/>
      <c r="J18" s="319"/>
      <c r="K18" s="319"/>
      <c r="L18" s="319"/>
      <c r="M18" s="319"/>
      <c r="N18" s="319"/>
      <c r="O18" s="319"/>
      <c r="P18" s="319"/>
      <c r="Q18" s="319"/>
      <c r="R18" s="319"/>
    </row>
    <row r="19" spans="1:18" s="50" customFormat="1" ht="12.75" customHeight="1">
      <c r="A19" s="319"/>
      <c r="B19" s="837"/>
      <c r="C19" s="606" t="str">
        <f>IF('Język - Language'!$B$30="Polski","Left Box 170x200 (dolny)","Left Box 170x200 (lower)")</f>
        <v>Left Box 170x200 (dolny)</v>
      </c>
      <c r="D19" s="608"/>
      <c r="E19" s="237" t="s">
        <v>59</v>
      </c>
      <c r="F19" s="331">
        <v>115000</v>
      </c>
      <c r="G19" s="331" t="s">
        <v>59</v>
      </c>
      <c r="H19" s="235">
        <v>90000</v>
      </c>
      <c r="I19" s="319"/>
      <c r="J19" s="319"/>
      <c r="K19" s="319"/>
      <c r="L19" s="319"/>
      <c r="M19" s="319"/>
      <c r="N19" s="319"/>
      <c r="O19" s="319"/>
      <c r="P19" s="319"/>
      <c r="Q19" s="319"/>
      <c r="R19" s="319"/>
    </row>
    <row r="20" spans="1:18" ht="12.75" customHeight="1">
      <c r="A20" s="319"/>
      <c r="B20" s="837"/>
      <c r="C20" s="606" t="s">
        <v>207</v>
      </c>
      <c r="D20" s="608"/>
      <c r="E20" s="236" t="s">
        <v>59</v>
      </c>
      <c r="F20" s="236">
        <v>300000</v>
      </c>
      <c r="G20" s="236" t="s">
        <v>59</v>
      </c>
      <c r="H20" s="236">
        <v>60000</v>
      </c>
      <c r="I20" s="319"/>
      <c r="J20" s="319"/>
      <c r="K20" s="319"/>
      <c r="L20" s="319"/>
      <c r="M20" s="319"/>
      <c r="N20" s="319"/>
      <c r="O20" s="319"/>
      <c r="P20" s="319"/>
      <c r="Q20" s="319"/>
      <c r="R20" s="319"/>
    </row>
    <row r="21" spans="1:18" s="81" customFormat="1" ht="12.75" customHeight="1">
      <c r="A21" s="319"/>
      <c r="B21" s="837"/>
      <c r="C21" s="606" t="s">
        <v>206</v>
      </c>
      <c r="D21" s="608"/>
      <c r="E21" s="236" t="s">
        <v>59</v>
      </c>
      <c r="F21" s="236">
        <v>400000</v>
      </c>
      <c r="G21" s="236" t="s">
        <v>59</v>
      </c>
      <c r="H21" s="236">
        <v>130000</v>
      </c>
      <c r="I21" s="319"/>
      <c r="J21" s="319"/>
      <c r="K21" s="319"/>
      <c r="L21" s="319"/>
      <c r="M21" s="319"/>
      <c r="N21" s="319"/>
      <c r="O21" s="319"/>
      <c r="P21" s="319"/>
      <c r="Q21" s="319"/>
      <c r="R21" s="319"/>
    </row>
    <row r="22" spans="1:18" s="46" customFormat="1" ht="12.75" customHeight="1">
      <c r="A22" s="319"/>
      <c r="B22" s="838"/>
      <c r="C22" s="1003" t="str">
        <f>IF('Język - Language'!$B$30="Polski","Rectangle (podgląd załączników)","Rectangle (in a preview of attachments)")</f>
        <v>Rectangle (podgląd załączników)</v>
      </c>
      <c r="D22" s="1004"/>
      <c r="E22" s="242" t="s">
        <v>59</v>
      </c>
      <c r="F22" s="242">
        <v>75000</v>
      </c>
      <c r="G22" s="242" t="s">
        <v>59</v>
      </c>
      <c r="H22" s="242">
        <v>40000</v>
      </c>
      <c r="I22" s="319"/>
      <c r="J22" s="319"/>
      <c r="K22" s="319"/>
      <c r="L22" s="319"/>
      <c r="M22" s="319"/>
      <c r="N22" s="319"/>
      <c r="O22" s="319"/>
      <c r="P22" s="319"/>
      <c r="Q22" s="319"/>
      <c r="R22" s="319"/>
    </row>
    <row r="23" spans="1:18" s="81" customFormat="1" ht="12.75" customHeight="1">
      <c r="A23" s="319"/>
      <c r="B23" s="204" t="str">
        <f>IF('Język - Language'!$B$30="Polski","Po wylogowaniu z Poczty","After logging out")</f>
        <v>Po wylogowaniu z Poczty</v>
      </c>
      <c r="C23" s="1005" t="s">
        <v>208</v>
      </c>
      <c r="D23" s="1006"/>
      <c r="E23" s="243" t="s">
        <v>59</v>
      </c>
      <c r="F23" s="243">
        <v>425000</v>
      </c>
      <c r="G23" s="243" t="s">
        <v>59</v>
      </c>
      <c r="H23" s="243">
        <v>200000</v>
      </c>
      <c r="I23" s="319"/>
      <c r="J23" s="319"/>
      <c r="K23" s="319"/>
      <c r="L23" s="319"/>
      <c r="M23" s="319"/>
      <c r="N23" s="319"/>
      <c r="O23" s="319"/>
      <c r="P23" s="319"/>
      <c r="Q23" s="319"/>
      <c r="R23" s="319"/>
    </row>
    <row r="24" spans="1:18" ht="12.75" customHeight="1">
      <c r="A24" s="319"/>
      <c r="B24" s="261" t="str">
        <f>IF('Język - Language'!$B$30="Polski","¹ możliwość emisji formatu 970x300 jako Retail Dniówka z dopłatą","¹ special Retail Daily Emission is available for 970x300 format with extra charge")</f>
        <v>¹ możliwość emisji formatu 970x300 jako Retail Dniówka z dopłatą</v>
      </c>
      <c r="C24" s="4"/>
      <c r="D24" s="4"/>
      <c r="E24" s="4"/>
      <c r="F24" s="4"/>
      <c r="G24" s="4"/>
      <c r="H24" s="82"/>
      <c r="I24" s="319"/>
      <c r="J24" s="319"/>
      <c r="K24" s="319"/>
      <c r="L24" s="319"/>
      <c r="M24" s="319"/>
      <c r="N24" s="319"/>
      <c r="O24" s="319"/>
      <c r="P24" s="319"/>
      <c r="Q24" s="319"/>
    </row>
    <row r="25" spans="1:18">
      <c r="A25" s="319"/>
      <c r="B25" s="52"/>
      <c r="C25" s="27"/>
      <c r="D25" s="27"/>
      <c r="E25" s="319"/>
      <c r="F25" s="319"/>
      <c r="G25" s="319"/>
      <c r="H25" s="82"/>
      <c r="I25" s="4"/>
      <c r="J25" s="319"/>
      <c r="K25" s="319"/>
      <c r="L25" s="319"/>
      <c r="M25" s="319"/>
      <c r="N25" s="319"/>
      <c r="O25" s="319"/>
      <c r="P25" s="319"/>
      <c r="Q25" s="319"/>
    </row>
    <row r="26" spans="1:18">
      <c r="A26" s="319"/>
      <c r="B26" s="319"/>
      <c r="C26" s="319"/>
      <c r="D26" s="319"/>
      <c r="E26" s="319"/>
      <c r="F26" s="21"/>
      <c r="G26" s="319"/>
      <c r="H26" s="319"/>
      <c r="I26" s="319"/>
      <c r="J26" s="319"/>
      <c r="K26" s="319"/>
      <c r="L26" s="319"/>
      <c r="M26" s="319"/>
      <c r="N26" s="319"/>
      <c r="O26" s="319"/>
      <c r="P26" s="319"/>
      <c r="Q26" s="319"/>
    </row>
    <row r="27" spans="1:18" ht="25.5" customHeight="1">
      <c r="A27" s="313"/>
      <c r="B27" s="435" t="s">
        <v>29</v>
      </c>
      <c r="C27" s="381" t="s">
        <v>60</v>
      </c>
      <c r="D27" s="385" t="s">
        <v>61</v>
      </c>
      <c r="E27" s="101"/>
      <c r="F27" s="590"/>
      <c r="G27" s="590"/>
      <c r="H27" s="590"/>
      <c r="I27" s="590"/>
      <c r="J27" s="319"/>
      <c r="K27" s="581"/>
      <c r="L27" s="581"/>
      <c r="M27" s="581"/>
      <c r="N27" s="581"/>
      <c r="O27" s="581"/>
      <c r="P27" s="581"/>
      <c r="Q27" s="319"/>
    </row>
    <row r="28" spans="1:18" ht="25.5" customHeight="1">
      <c r="A28" s="319"/>
      <c r="B28" s="197" t="str">
        <f>IF('Język - Language'!$B$30="Polski","Mailing HTML 100 kB","Mailing HTML 100 kB")</f>
        <v>Mailing HTML 100 kB</v>
      </c>
      <c r="C28" s="300">
        <v>80</v>
      </c>
      <c r="D28" s="308">
        <v>88</v>
      </c>
      <c r="E28" s="424"/>
      <c r="F28" s="591"/>
      <c r="G28" s="591"/>
      <c r="H28" s="591"/>
      <c r="I28" s="591"/>
      <c r="J28" s="313"/>
      <c r="K28" s="368"/>
      <c r="L28" s="583"/>
      <c r="M28" s="583"/>
      <c r="N28" s="583"/>
      <c r="O28" s="583"/>
      <c r="P28" s="583"/>
      <c r="Q28" s="319"/>
    </row>
    <row r="29" spans="1:18" ht="25.5" customHeight="1">
      <c r="A29" s="319"/>
      <c r="B29" s="198" t="str">
        <f>IF('Język - Language'!$B$30="Polski","Mailing interaktywny²","Interactive Mailing²")</f>
        <v>Mailing interaktywny²</v>
      </c>
      <c r="C29" s="404">
        <v>160</v>
      </c>
      <c r="D29" s="309">
        <v>176</v>
      </c>
      <c r="E29" s="367"/>
      <c r="F29" s="63"/>
      <c r="G29" s="64"/>
      <c r="H29" s="65"/>
      <c r="I29" s="65"/>
      <c r="J29" s="313"/>
      <c r="K29" s="85"/>
      <c r="L29" s="585"/>
      <c r="M29" s="585"/>
      <c r="N29" s="585"/>
      <c r="O29" s="585"/>
      <c r="P29" s="585"/>
      <c r="Q29" s="319"/>
    </row>
    <row r="30" spans="1:18" ht="25.5" customHeight="1">
      <c r="A30" s="319"/>
      <c r="B30" s="993"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0" s="993"/>
      <c r="D30" s="993"/>
      <c r="E30" s="993"/>
      <c r="F30" s="993"/>
      <c r="G30" s="993"/>
      <c r="H30" s="993"/>
      <c r="I30" s="993"/>
      <c r="J30" s="65"/>
      <c r="K30" s="313"/>
      <c r="L30" s="85"/>
      <c r="M30" s="585"/>
      <c r="N30" s="585"/>
      <c r="O30" s="585"/>
      <c r="P30" s="585"/>
      <c r="Q30" s="585"/>
    </row>
    <row r="31" spans="1:18" ht="12.75" customHeight="1">
      <c r="A31" s="319"/>
      <c r="B31" s="993" t="str">
        <f>IF('Język - Language'!$B$30="Polski","² Minimalna wartość zamówienia to 5 000 zł NN","² Minimal order - 5 000 zł NN")</f>
        <v>² Minimalna wartość zamówienia to 5 000 zł NN</v>
      </c>
      <c r="C31" s="993"/>
      <c r="D31" s="993"/>
      <c r="E31" s="993"/>
      <c r="F31" s="993"/>
      <c r="G31" s="993"/>
      <c r="H31" s="993"/>
      <c r="I31" s="993"/>
      <c r="J31" s="65"/>
      <c r="K31" s="313"/>
      <c r="L31" s="86"/>
      <c r="M31" s="588"/>
      <c r="N31" s="588"/>
      <c r="O31" s="588"/>
      <c r="P31" s="588"/>
      <c r="Q31" s="588"/>
    </row>
    <row r="32" spans="1:18" s="122" customFormat="1" ht="12.75" customHeight="1">
      <c r="A32" s="319"/>
      <c r="B32" s="371"/>
      <c r="C32" s="371"/>
      <c r="D32" s="371"/>
      <c r="E32" s="371"/>
      <c r="F32" s="371"/>
      <c r="G32" s="371"/>
      <c r="H32" s="371"/>
      <c r="I32" s="371"/>
      <c r="J32" s="65"/>
      <c r="K32" s="313"/>
      <c r="L32" s="86"/>
      <c r="M32" s="372"/>
      <c r="N32" s="372"/>
      <c r="O32" s="372"/>
      <c r="P32" s="372"/>
      <c r="Q32" s="372"/>
    </row>
    <row r="33" spans="1:17" s="122" customFormat="1" ht="12.75" customHeight="1">
      <c r="A33" s="313"/>
      <c r="B33" s="195"/>
      <c r="C33" s="195"/>
      <c r="D33" s="195"/>
      <c r="E33" s="195"/>
      <c r="F33" s="84"/>
      <c r="G33" s="43"/>
      <c r="H33" s="44"/>
      <c r="I33" s="45"/>
      <c r="J33" s="45"/>
      <c r="K33" s="313"/>
      <c r="L33" s="86"/>
      <c r="M33" s="372"/>
      <c r="N33" s="372"/>
      <c r="O33" s="372"/>
      <c r="P33" s="372"/>
      <c r="Q33" s="372"/>
    </row>
    <row r="34" spans="1:17" ht="25.5" customHeight="1">
      <c r="A34" s="313"/>
      <c r="B34" s="201"/>
      <c r="C34" s="659" t="str">
        <f>IF('Język - Language'!$B$30="Polski","LICZBA WSZYSTKICH REKORDÓW","NUMBER OF RECORDS")</f>
        <v>LICZBA WSZYSTKICH REKORDÓW</v>
      </c>
      <c r="D34" s="661"/>
      <c r="E34" s="201" t="str">
        <f>IF('Język - Language'!$B$30="Polski","CENY CPM BEZ TARGETOWANIA","CPM, NO TARGETS")</f>
        <v>CENY CPM BEZ TARGETOWANIA</v>
      </c>
      <c r="F34" s="41"/>
      <c r="G34" s="313"/>
      <c r="H34" s="85"/>
      <c r="I34" s="588"/>
      <c r="J34" s="588"/>
      <c r="K34" s="588"/>
      <c r="L34" s="588"/>
      <c r="M34" s="588"/>
    </row>
    <row r="35" spans="1:17" ht="25.5" customHeight="1">
      <c r="A35" s="193"/>
      <c r="B35" s="214" t="str">
        <f>IF('Język - Language'!$B$30="Polski","Money.pl","Money.pl")</f>
        <v>Money.pl</v>
      </c>
      <c r="C35" s="994">
        <v>282000</v>
      </c>
      <c r="D35" s="995"/>
      <c r="E35" s="262">
        <v>150</v>
      </c>
      <c r="F35" s="40"/>
      <c r="G35" s="319"/>
      <c r="H35" s="87"/>
      <c r="I35" s="588"/>
      <c r="J35" s="588"/>
      <c r="K35" s="588"/>
      <c r="L35" s="588"/>
      <c r="M35" s="588"/>
    </row>
    <row r="36" spans="1:17" ht="25.5" customHeight="1">
      <c r="A36" s="193"/>
      <c r="B36" s="996" t="str">
        <f>IF('Język - Language'!$B$30="Polski","TG TOP MANAGEMENT*** max 100 000 kont","TG TOP MANAGEMENT*** max 100 000 email accounts")</f>
        <v>TG TOP MANAGEMENT*** max 100 000 kont</v>
      </c>
      <c r="C36" s="997"/>
      <c r="D36" s="997"/>
      <c r="E36" s="998"/>
      <c r="F36" s="42"/>
      <c r="G36" s="319"/>
      <c r="H36" s="368"/>
      <c r="I36" s="581"/>
      <c r="J36" s="581"/>
      <c r="K36" s="581"/>
      <c r="L36" s="581"/>
      <c r="M36" s="581"/>
    </row>
    <row r="37" spans="1:17" ht="12.75" customHeight="1">
      <c r="A37" s="319"/>
      <c r="B37" s="62"/>
      <c r="C37" s="62"/>
      <c r="D37" s="62"/>
      <c r="E37" s="62"/>
      <c r="F37" s="62"/>
      <c r="G37" s="62"/>
      <c r="H37" s="62"/>
      <c r="I37" s="319"/>
      <c r="J37" s="319"/>
      <c r="K37" s="319"/>
      <c r="L37" s="313"/>
      <c r="M37" s="313"/>
      <c r="N37" s="313"/>
      <c r="O37" s="313"/>
      <c r="P37" s="313"/>
      <c r="Q37" s="313"/>
    </row>
  </sheetData>
  <mergeCells count="39">
    <mergeCell ref="G7:H7"/>
    <mergeCell ref="C1:G3"/>
    <mergeCell ref="B16:B22"/>
    <mergeCell ref="E7:F7"/>
    <mergeCell ref="B7:B8"/>
    <mergeCell ref="C7:C8"/>
    <mergeCell ref="C9:D9"/>
    <mergeCell ref="C10:D10"/>
    <mergeCell ref="C11:D11"/>
    <mergeCell ref="C21:D21"/>
    <mergeCell ref="C19:D19"/>
    <mergeCell ref="C20:D20"/>
    <mergeCell ref="C22:D22"/>
    <mergeCell ref="C12:D12"/>
    <mergeCell ref="B9:B15"/>
    <mergeCell ref="C15:D15"/>
    <mergeCell ref="C13:D13"/>
    <mergeCell ref="C14:D14"/>
    <mergeCell ref="C16:D16"/>
    <mergeCell ref="L28:P28"/>
    <mergeCell ref="F27:F28"/>
    <mergeCell ref="G27:G28"/>
    <mergeCell ref="C17:D17"/>
    <mergeCell ref="C18:D18"/>
    <mergeCell ref="C23:D23"/>
    <mergeCell ref="I36:M36"/>
    <mergeCell ref="K27:P27"/>
    <mergeCell ref="I34:M34"/>
    <mergeCell ref="M31:Q31"/>
    <mergeCell ref="I35:M35"/>
    <mergeCell ref="B31:I31"/>
    <mergeCell ref="L29:P29"/>
    <mergeCell ref="M30:Q30"/>
    <mergeCell ref="B30:I30"/>
    <mergeCell ref="H27:H28"/>
    <mergeCell ref="I27:I28"/>
    <mergeCell ref="C34:D34"/>
    <mergeCell ref="C35:D35"/>
    <mergeCell ref="B36:E36"/>
  </mergeCells>
  <pageMargins left="0.7" right="0.7" top="0.75" bottom="0.75" header="0.3" footer="0.3"/>
  <pageSetup paperSize="256" scale="6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S26"/>
  <sheetViews>
    <sheetView zoomScaleNormal="100" workbookViewId="0">
      <pane ySplit="4" topLeftCell="A5" activePane="bottomLeft" state="frozen"/>
      <selection pane="bottomLeft"/>
    </sheetView>
  </sheetViews>
  <sheetFormatPr defaultColWidth="11.42578125" defaultRowHeight="12.75"/>
  <cols>
    <col min="1" max="1" width="5.5703125" style="2" customWidth="1"/>
    <col min="2" max="2" width="22.85546875" style="2" customWidth="1"/>
    <col min="3" max="3" width="50" style="2" customWidth="1"/>
    <col min="4" max="13" width="10.42578125" style="2" customWidth="1"/>
    <col min="14" max="17" width="11.5703125" style="2" customWidth="1"/>
    <col min="18" max="16384" width="11.42578125" style="2"/>
  </cols>
  <sheetData>
    <row r="1" spans="2:19" ht="12.75" customHeight="1">
      <c r="B1" s="319"/>
      <c r="C1" s="319"/>
      <c r="D1" s="18"/>
      <c r="E1" s="18"/>
      <c r="F1" s="319"/>
      <c r="G1" s="319"/>
      <c r="H1" s="321"/>
      <c r="I1" s="321"/>
      <c r="J1" s="321"/>
      <c r="K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L1" s="589"/>
      <c r="M1" s="589"/>
      <c r="N1" s="589"/>
      <c r="O1" s="589"/>
      <c r="P1" s="589"/>
      <c r="Q1" s="589"/>
    </row>
    <row r="2" spans="2:19" ht="12.75" customHeight="1">
      <c r="B2" s="321"/>
      <c r="C2" s="319"/>
      <c r="D2" s="18"/>
      <c r="E2" s="18"/>
      <c r="F2" s="319"/>
      <c r="G2" s="321"/>
      <c r="H2" s="321"/>
      <c r="I2" s="321"/>
      <c r="J2" s="321"/>
      <c r="K2" s="589"/>
      <c r="L2" s="589"/>
      <c r="M2" s="589"/>
      <c r="N2" s="589"/>
      <c r="O2" s="589"/>
      <c r="P2" s="589"/>
      <c r="Q2" s="589"/>
    </row>
    <row r="3" spans="2:19" ht="12.75" customHeight="1">
      <c r="B3" s="321"/>
      <c r="C3" s="319"/>
      <c r="D3" s="18"/>
      <c r="E3" s="18"/>
      <c r="F3" s="319"/>
      <c r="G3" s="321"/>
      <c r="H3" s="321"/>
      <c r="I3" s="321"/>
      <c r="J3" s="321"/>
      <c r="K3" s="589"/>
      <c r="L3" s="589"/>
      <c r="M3" s="589"/>
      <c r="N3" s="589"/>
      <c r="O3" s="589"/>
      <c r="P3" s="589"/>
      <c r="Q3" s="589"/>
    </row>
    <row r="4" spans="2:19" s="34" customFormat="1" ht="12.75" customHeight="1">
      <c r="B4" s="35" t="str">
        <f>IF('Język - Language'!$B$30="Polski","                        Data Power","                        Data Power")</f>
        <v xml:space="preserve">                        Data Power</v>
      </c>
      <c r="C4" s="322"/>
      <c r="D4" s="322"/>
      <c r="E4" s="322"/>
      <c r="F4" s="322"/>
      <c r="G4" s="322"/>
      <c r="H4" s="322"/>
      <c r="I4" s="322"/>
      <c r="J4" s="322"/>
      <c r="K4" s="322"/>
      <c r="L4" s="322"/>
      <c r="M4" s="322"/>
      <c r="N4" s="322"/>
      <c r="O4" s="322"/>
      <c r="P4" s="322"/>
      <c r="Q4" s="312" t="str">
        <f>IF('Język - Language'!$B$30="Polski","PL","EN")</f>
        <v>PL</v>
      </c>
    </row>
    <row r="5" spans="2:19" ht="15">
      <c r="B5" s="319"/>
      <c r="C5" s="319"/>
      <c r="D5" s="319"/>
      <c r="E5" s="319"/>
      <c r="F5" s="319"/>
      <c r="G5" s="319"/>
      <c r="H5" s="319"/>
      <c r="I5" s="319"/>
      <c r="J5" s="319"/>
      <c r="K5" s="319"/>
      <c r="L5" s="319"/>
      <c r="M5" s="319"/>
      <c r="N5" s="320"/>
      <c r="O5" s="320"/>
      <c r="P5" s="320"/>
      <c r="Q5" s="320"/>
    </row>
    <row r="6" spans="2:19" ht="12.75" customHeight="1">
      <c r="B6" s="106"/>
      <c r="C6" s="16"/>
      <c r="D6" s="320"/>
      <c r="E6" s="319"/>
      <c r="F6" s="319"/>
      <c r="G6" s="319"/>
      <c r="H6" s="319"/>
      <c r="I6" s="319"/>
      <c r="J6" s="319"/>
      <c r="K6" s="319"/>
      <c r="L6" s="319"/>
      <c r="M6" s="319"/>
      <c r="N6" s="106"/>
      <c r="O6" s="106"/>
      <c r="P6" s="320"/>
      <c r="Q6" s="320"/>
    </row>
    <row r="7" spans="2:19" ht="12.75" customHeight="1">
      <c r="B7" s="946" t="str">
        <f>IF('Język - Language'!$B$30="Polski","KATEGORIE","CATEGORIES")</f>
        <v>KATEGORIE</v>
      </c>
      <c r="C7" s="626" t="str">
        <f>IF('Język - Language'!$B$30="Polski","PRZYKŁADOWE PROFILE","EXAMPLE PROFILES")</f>
        <v>PRZYKŁADOWE PROFILE</v>
      </c>
      <c r="D7" s="1012" t="s">
        <v>83</v>
      </c>
      <c r="E7" s="1013"/>
      <c r="F7" s="896" t="s">
        <v>78</v>
      </c>
      <c r="G7" s="896"/>
      <c r="H7" s="896" t="s">
        <v>79</v>
      </c>
      <c r="I7" s="896"/>
      <c r="J7" s="896" t="s">
        <v>80</v>
      </c>
      <c r="K7" s="942"/>
      <c r="L7" s="954" t="s">
        <v>81</v>
      </c>
      <c r="M7" s="942"/>
      <c r="N7" s="923" t="s">
        <v>62</v>
      </c>
      <c r="O7" s="880"/>
      <c r="P7" s="987" t="s">
        <v>82</v>
      </c>
      <c r="Q7" s="1022"/>
      <c r="R7" s="1020"/>
      <c r="S7" s="1021"/>
    </row>
    <row r="8" spans="2:19" ht="12.75" customHeight="1">
      <c r="B8" s="626"/>
      <c r="C8" s="626"/>
      <c r="D8" s="1012"/>
      <c r="E8" s="1013"/>
      <c r="F8" s="829"/>
      <c r="G8" s="829"/>
      <c r="H8" s="829" t="s">
        <v>84</v>
      </c>
      <c r="I8" s="829"/>
      <c r="J8" s="829"/>
      <c r="K8" s="832"/>
      <c r="L8" s="955"/>
      <c r="M8" s="832"/>
      <c r="N8" s="923"/>
      <c r="O8" s="880"/>
      <c r="P8" s="987"/>
      <c r="Q8" s="1022"/>
      <c r="R8" s="1020"/>
      <c r="S8" s="1021"/>
    </row>
    <row r="9" spans="2:19" ht="25.5" customHeight="1">
      <c r="B9" s="626"/>
      <c r="C9" s="626"/>
      <c r="D9" s="1012"/>
      <c r="E9" s="1013"/>
      <c r="F9" s="944" t="s">
        <v>85</v>
      </c>
      <c r="G9" s="944"/>
      <c r="H9" s="829" t="s">
        <v>86</v>
      </c>
      <c r="I9" s="829"/>
      <c r="J9" s="829" t="s">
        <v>87</v>
      </c>
      <c r="K9" s="832"/>
      <c r="L9" s="927" t="s">
        <v>88</v>
      </c>
      <c r="M9" s="928"/>
      <c r="N9" s="927" t="s">
        <v>63</v>
      </c>
      <c r="O9" s="928"/>
      <c r="P9" s="927" t="s">
        <v>89</v>
      </c>
      <c r="Q9" s="928"/>
      <c r="R9" s="1020"/>
      <c r="S9" s="1021"/>
    </row>
    <row r="10" spans="2:19" ht="25.5" customHeight="1">
      <c r="B10" s="626"/>
      <c r="C10" s="626"/>
      <c r="D10" s="1012"/>
      <c r="E10" s="1013"/>
      <c r="F10" s="944"/>
      <c r="G10" s="944"/>
      <c r="H10" s="944" t="str">
        <f>IF('Język - Language'!$B$30="Polski","MOBILE BANNER GÓRNY","MOBILE UPPER BANNER")</f>
        <v>MOBILE BANNER GÓRNY</v>
      </c>
      <c r="I10" s="944"/>
      <c r="J10" s="829"/>
      <c r="K10" s="832"/>
      <c r="L10" s="927"/>
      <c r="M10" s="928"/>
      <c r="N10" s="927"/>
      <c r="O10" s="928"/>
      <c r="P10" s="927"/>
      <c r="Q10" s="928"/>
      <c r="R10" s="1020"/>
      <c r="S10" s="1021"/>
    </row>
    <row r="11" spans="2:19" ht="25.5" customHeight="1">
      <c r="B11" s="626"/>
      <c r="C11" s="1011"/>
      <c r="D11" s="973" t="str">
        <f>IF('Język - Language'!$B$30="Polski","Mailing HTML do 100 kB","Mailing HTML up to 100 kB")</f>
        <v>Mailing HTML do 100 kB</v>
      </c>
      <c r="E11" s="969"/>
      <c r="F11" s="829" t="str">
        <f>IF('Język - Language'!$B$30="Polski","rozliczenie za widzialne odsłony wg standardu IAB¹","settlement for visible ad views according to the IAB standard¹")</f>
        <v>rozliczenie za widzialne odsłony wg standardu IAB¹</v>
      </c>
      <c r="G11" s="829"/>
      <c r="H11" s="829"/>
      <c r="I11" s="829"/>
      <c r="J11" s="829"/>
      <c r="K11" s="829"/>
      <c r="L11" s="829"/>
      <c r="M11" s="829"/>
      <c r="N11" s="829"/>
      <c r="O11" s="832"/>
      <c r="P11" s="1023" t="str">
        <f>IF('Język - Language'!$B$30="Polski","rozliczenie CPM za rozpoczęte odtworzenia⁴","CPM settlement for started video playbacks⁴")</f>
        <v>rozliczenie CPM za rozpoczęte odtworzenia⁴</v>
      </c>
      <c r="Q11" s="1022"/>
      <c r="R11" s="1024"/>
      <c r="S11" s="1024"/>
    </row>
    <row r="12" spans="2:19" ht="25.5" customHeight="1">
      <c r="B12" s="926"/>
      <c r="C12" s="1011"/>
      <c r="D12" s="531" t="s">
        <v>60</v>
      </c>
      <c r="E12" s="532" t="s">
        <v>61</v>
      </c>
      <c r="F12" s="829" t="s">
        <v>129</v>
      </c>
      <c r="G12" s="952"/>
      <c r="H12" s="922" t="s">
        <v>129</v>
      </c>
      <c r="I12" s="952"/>
      <c r="J12" s="922" t="s">
        <v>129</v>
      </c>
      <c r="K12" s="952"/>
      <c r="L12" s="922" t="s">
        <v>129</v>
      </c>
      <c r="M12" s="969"/>
      <c r="N12" s="973" t="s">
        <v>129</v>
      </c>
      <c r="O12" s="969"/>
      <c r="P12" s="325" t="s">
        <v>74</v>
      </c>
      <c r="Q12" s="533" t="str">
        <f>IF('Język - Language'!$B$30="Polski",CONCATENATE("30",CHAR(34)," i dłuższy⁴"),CONCATENATE("30",CHAR(34)," or longer⁴"))</f>
        <v>30" i dłuższy⁴</v>
      </c>
      <c r="R12" s="545"/>
      <c r="S12" s="545"/>
    </row>
    <row r="13" spans="2:19" ht="37.5" customHeight="1">
      <c r="B13" s="457" t="str">
        <f>IF('Język - Language'!$B$30="Polski","BIZNES","BUSINESS")</f>
        <v>BIZNES</v>
      </c>
      <c r="C13" s="378" t="str">
        <f>IF('Język - Language'!$B$30="Polski",CONCATENATE("Firma - Poszukujący pomysłu na biznes",CHAR(10),"Leasing",CHAR(10),"Podatki"),CONCATENATE("Business - Looking for a business idea",CHAR(10),"Leasing",CHAR(10),"Taxes"))</f>
        <v>Firma - Poszukujący pomysłu na biznes
Leasing
Podatki</v>
      </c>
      <c r="D13" s="329" t="s">
        <v>92</v>
      </c>
      <c r="E13" s="357" t="s">
        <v>93</v>
      </c>
      <c r="F13" s="782">
        <v>108</v>
      </c>
      <c r="G13" s="783"/>
      <c r="H13" s="782">
        <v>162</v>
      </c>
      <c r="I13" s="783"/>
      <c r="J13" s="782">
        <v>216</v>
      </c>
      <c r="K13" s="783"/>
      <c r="L13" s="1025">
        <v>252</v>
      </c>
      <c r="M13" s="1026"/>
      <c r="N13" s="1025">
        <v>282</v>
      </c>
      <c r="O13" s="1026"/>
      <c r="P13" s="326" t="s">
        <v>90</v>
      </c>
      <c r="Q13" s="355" t="s">
        <v>91</v>
      </c>
      <c r="R13" s="546"/>
      <c r="S13" s="270"/>
    </row>
    <row r="14" spans="2:19" s="93" customFormat="1" ht="37.5" customHeight="1">
      <c r="B14" s="314" t="str">
        <f>IF('Język - Language'!$B$30="Polski","INFO I SPORT","INFO AND SPORT")</f>
        <v>INFO I SPORT</v>
      </c>
      <c r="C14" s="410" t="str">
        <f>IF('Język - Language'!$B$30="Polski",CONCATENATE("Siatkówka",CHAR(10),"Piłka nożna - liga hiszpańska",CHAR(10),"Piłka ręczna"),CONCATENATE("Volleyball",CHAR(10),"Football - Spanish league",CHAR(10),"Handball"))</f>
        <v>Siatkówka
Piłka nożna - liga hiszpańska
Piłka ręczna</v>
      </c>
      <c r="D14" s="330" t="s">
        <v>96</v>
      </c>
      <c r="E14" s="358" t="s">
        <v>102</v>
      </c>
      <c r="F14" s="847">
        <v>66</v>
      </c>
      <c r="G14" s="848"/>
      <c r="H14" s="847">
        <v>96</v>
      </c>
      <c r="I14" s="848"/>
      <c r="J14" s="847">
        <v>126</v>
      </c>
      <c r="K14" s="848"/>
      <c r="L14" s="870">
        <v>150</v>
      </c>
      <c r="M14" s="871"/>
      <c r="N14" s="870">
        <v>174</v>
      </c>
      <c r="O14" s="871"/>
      <c r="P14" s="327" t="s">
        <v>94</v>
      </c>
      <c r="Q14" s="356" t="s">
        <v>95</v>
      </c>
      <c r="R14" s="546"/>
      <c r="S14" s="270"/>
    </row>
    <row r="15" spans="2:19" ht="37.5" customHeight="1">
      <c r="B15" s="315" t="str">
        <f>IF('Język - Language'!$B$30="Polski","MOTORYZACJA","AUTOMOTIVE")</f>
        <v>MOTORYZACJA</v>
      </c>
      <c r="C15" s="378" t="str">
        <f>IF('Język - Language'!$B$30="Polski",CONCATENATE("Autosegment A",CHAR(10),"Design motoryzacyjny",CHAR(10),"Pojazdy zabytkowe"),CONCATENATE("Autosegment A",CHAR(10),"Automotive design",CHAR(10),"Vintage vehicles"))</f>
        <v>Autosegment A
Design motoryzacyjny
Pojazdy zabytkowe</v>
      </c>
      <c r="D15" s="330" t="s">
        <v>97</v>
      </c>
      <c r="E15" s="358" t="s">
        <v>98</v>
      </c>
      <c r="F15" s="847">
        <v>54</v>
      </c>
      <c r="G15" s="848"/>
      <c r="H15" s="847">
        <v>82</v>
      </c>
      <c r="I15" s="848"/>
      <c r="J15" s="847">
        <v>108</v>
      </c>
      <c r="K15" s="848"/>
      <c r="L15" s="870">
        <v>127</v>
      </c>
      <c r="M15" s="871"/>
      <c r="N15" s="870">
        <v>144</v>
      </c>
      <c r="O15" s="871"/>
      <c r="P15" s="328" t="s">
        <v>94</v>
      </c>
      <c r="Q15" s="356" t="s">
        <v>95</v>
      </c>
      <c r="R15" s="546"/>
      <c r="S15" s="270"/>
    </row>
    <row r="16" spans="2:19" ht="37.5" customHeight="1">
      <c r="B16" s="314" t="str">
        <f>IF('Język - Language'!$B$30="Polski","ROZRYWKA","FUN")</f>
        <v>ROZRYWKA</v>
      </c>
      <c r="C16" s="410" t="str">
        <f>IF('Język - Language'!$B$30="Polski",
CONCATENATE("Film, kino and seriale",CHAR(10),"Ekologia",CHAR(10),"Zainteresowani esportem"),
CONCATENATE("Film, cinema and series",CHAR(10),"Ecology",CHAR(10),"Interested in esport"))</f>
        <v>Film, kino and seriale
Ekologia
Zainteresowani esportem</v>
      </c>
      <c r="D16" s="330" t="s">
        <v>99</v>
      </c>
      <c r="E16" s="358" t="s">
        <v>100</v>
      </c>
      <c r="F16" s="847">
        <v>36</v>
      </c>
      <c r="G16" s="848"/>
      <c r="H16" s="847">
        <v>54</v>
      </c>
      <c r="I16" s="848"/>
      <c r="J16" s="847">
        <v>72</v>
      </c>
      <c r="K16" s="848"/>
      <c r="L16" s="870">
        <v>84</v>
      </c>
      <c r="M16" s="871"/>
      <c r="N16" s="870">
        <v>94</v>
      </c>
      <c r="O16" s="871"/>
      <c r="P16" s="328" t="s">
        <v>94</v>
      </c>
      <c r="Q16" s="356" t="s">
        <v>95</v>
      </c>
      <c r="R16" s="546"/>
      <c r="S16" s="270"/>
    </row>
    <row r="17" spans="1:19" ht="48" customHeight="1">
      <c r="A17" s="319"/>
      <c r="B17" s="314" t="str">
        <f>IF('Język - Language'!$B$30="Polski","STYL ŻYCIA","LIFESTYLE")</f>
        <v>STYL ŻYCIA</v>
      </c>
      <c r="C17" s="378" t="str">
        <f>IF('Język - Language'!$B$30="Polski",CONCATENATE("Uroda - Zabiegi kosmetyczne (SPA)",CHAR(10),"Kulinaria - Kuchnia meksykańska",CHAR(10),"Turystyka - Wyjazdy rodzinne (morze)",CHAR(10),"Dom i wnętrze"),CONCATENATE("Beauty - Cosmetic treatments (SPA)",CHAR(10),"Culinary - Mexican cuisine",CHAR(10),"Tourism - Family trips (sea)",CHAR(10),"Home and interior"))</f>
        <v>Uroda - Zabiegi kosmetyczne (SPA)
Kulinaria - Kuchnia meksykańska
Turystyka - Wyjazdy rodzinne (morze)
Dom i wnętrze</v>
      </c>
      <c r="D17" s="330" t="s">
        <v>154</v>
      </c>
      <c r="E17" s="358" t="s">
        <v>155</v>
      </c>
      <c r="F17" s="847">
        <v>54</v>
      </c>
      <c r="G17" s="848"/>
      <c r="H17" s="847">
        <v>82</v>
      </c>
      <c r="I17" s="848"/>
      <c r="J17" s="847">
        <v>108</v>
      </c>
      <c r="K17" s="848"/>
      <c r="L17" s="870">
        <v>127</v>
      </c>
      <c r="M17" s="871"/>
      <c r="N17" s="870">
        <v>144</v>
      </c>
      <c r="O17" s="871"/>
      <c r="P17" s="328" t="s">
        <v>94</v>
      </c>
      <c r="Q17" s="356" t="s">
        <v>95</v>
      </c>
      <c r="R17" s="546"/>
      <c r="S17" s="270"/>
    </row>
    <row r="18" spans="1:19" ht="37.5" customHeight="1">
      <c r="A18" s="319"/>
      <c r="B18" s="315" t="str">
        <f>IF('Język - Language'!$B$30="Polski","TECHNOLOGIA","TECHNOLOGY")</f>
        <v>TECHNOLOGIA</v>
      </c>
      <c r="C18" s="378" t="str">
        <f>IF('Język - Language'!$B$30="Polski",CONCATENATE("Sprzęt AGD",CHAR(10),"Konsole i gry",CHAR(10),"Inteligentny dom"),CONCATENATE("Household appliances",CHAR(10),"Consoles and games",CHAR(10),"Smart home"))</f>
        <v>Sprzęt AGD
Konsole i gry
Inteligentny dom</v>
      </c>
      <c r="D18" s="330" t="s">
        <v>97</v>
      </c>
      <c r="E18" s="358" t="s">
        <v>98</v>
      </c>
      <c r="F18" s="847">
        <v>54</v>
      </c>
      <c r="G18" s="848"/>
      <c r="H18" s="847">
        <v>82</v>
      </c>
      <c r="I18" s="848"/>
      <c r="J18" s="847">
        <v>108</v>
      </c>
      <c r="K18" s="848"/>
      <c r="L18" s="870">
        <v>127</v>
      </c>
      <c r="M18" s="871"/>
      <c r="N18" s="870">
        <v>144</v>
      </c>
      <c r="O18" s="871"/>
      <c r="P18" s="328" t="s">
        <v>94</v>
      </c>
      <c r="Q18" s="354">
        <v>150</v>
      </c>
      <c r="R18" s="546"/>
      <c r="S18" s="270"/>
    </row>
    <row r="19" spans="1:19" ht="48" customHeight="1">
      <c r="A19" s="319"/>
      <c r="B19" s="314" t="str">
        <f>IF('Język - Language'!$B$30="Polski","ZDROWIE I PARENTING","HEALTH AND PARENTING")</f>
        <v>ZDROWIE I PARENTING</v>
      </c>
      <c r="C19" s="412" t="str">
        <f>IF('Język - Language'!$B$30="Polski",CONCATENATE("Rodzina - Pięlęgnacja niemowlaka",CHAR(10),"Zdrowie",CHAR(10),"Grypa i przeziębienie",CHAR(10),"Medycyna naturalna"),CONCATENATE("Parenting - Baby's care",CHAR(10),"Health",CHAR(10),"Flu and cold",CHAR(10),"Natural medicine"))</f>
        <v>Rodzina - Pięlęgnacja niemowlaka
Zdrowie
Grypa i przeziębienie
Medycyna naturalna</v>
      </c>
      <c r="D19" s="330" t="s">
        <v>101</v>
      </c>
      <c r="E19" s="358" t="s">
        <v>102</v>
      </c>
      <c r="F19" s="790">
        <v>99</v>
      </c>
      <c r="G19" s="791"/>
      <c r="H19" s="790">
        <v>144</v>
      </c>
      <c r="I19" s="791"/>
      <c r="J19" s="790">
        <v>198</v>
      </c>
      <c r="K19" s="791"/>
      <c r="L19" s="868">
        <v>224</v>
      </c>
      <c r="M19" s="869"/>
      <c r="N19" s="868">
        <v>252</v>
      </c>
      <c r="O19" s="869"/>
      <c r="P19" s="328" t="s">
        <v>91</v>
      </c>
      <c r="Q19" s="354">
        <v>240</v>
      </c>
      <c r="R19" s="546"/>
      <c r="S19" s="270"/>
    </row>
    <row r="20" spans="1:19" ht="25.5" customHeight="1">
      <c r="A20" s="319"/>
      <c r="B20" s="315" t="str">
        <f>IF('Język - Language'!$B$30="Polski","GEOTARGETOWANIE","GEOTARGETING")</f>
        <v>GEOTARGETOWANIE</v>
      </c>
      <c r="C20" s="378" t="str">
        <f>IF('Język - Language'!$B$30="Polski","Województwa, miasta, konkretna lokalizacja","Provinces, cities, specific location")</f>
        <v>Województwa, miasta, konkretna lokalizacja</v>
      </c>
      <c r="D20" s="1014" t="s">
        <v>103</v>
      </c>
      <c r="E20" s="1015"/>
      <c r="F20" s="1015"/>
      <c r="G20" s="1015"/>
      <c r="H20" s="1015"/>
      <c r="I20" s="1015"/>
      <c r="J20" s="1015"/>
      <c r="K20" s="1015"/>
      <c r="L20" s="1015"/>
      <c r="M20" s="1015"/>
      <c r="N20" s="1015"/>
      <c r="O20" s="1015"/>
      <c r="P20" s="1015"/>
      <c r="Q20" s="1016"/>
    </row>
    <row r="21" spans="1:19" ht="37.5" customHeight="1">
      <c r="A21" s="313"/>
      <c r="B21" s="315" t="str">
        <f>IF('Język - Language'!$B$30="Polski","RAPORT AUDIENCE","AUDIENCE REPORT")</f>
        <v>RAPORT AUDIENCE</v>
      </c>
      <c r="C21" s="317" t="str">
        <f>IF('Język - Language'!$B$30="Polski","Podsumowanie kampanii zawierającej raport Audience Discovery czyli pełny profil użytkownika (wersja podstawowa i rozszerzona). 
Segmenty tworzymy pod konkretnego klienta lub konkretną kampanię.","A summary of the campaign containing the Audience Discovery report - full user profile (basic and extended version). Segments are created for a specific customer or specific campaign.")</f>
        <v>Podsumowanie kampanii zawierającej raport Audience Discovery czyli pełny profil użytkownika (wersja podstawowa i rozszerzona). 
Segmenty tworzymy pod konkretnego klienta lub konkretną kampanię.</v>
      </c>
      <c r="D21" s="1017" t="s">
        <v>103</v>
      </c>
      <c r="E21" s="1018"/>
      <c r="F21" s="1018"/>
      <c r="G21" s="1018"/>
      <c r="H21" s="1018"/>
      <c r="I21" s="1018"/>
      <c r="J21" s="1018"/>
      <c r="K21" s="1018"/>
      <c r="L21" s="1018"/>
      <c r="M21" s="1018"/>
      <c r="N21" s="1018"/>
      <c r="O21" s="1018"/>
      <c r="P21" s="1018"/>
      <c r="Q21" s="1019"/>
    </row>
    <row r="22" spans="1:19" ht="25.5" customHeight="1">
      <c r="A22" s="313"/>
      <c r="B22" s="316" t="str">
        <f>IF('Język - Language'!$B$30="Polski","PROFIL DEDYKOWANY","DEDICATED PROFILE")</f>
        <v>PROFIL DEDYKOWANY</v>
      </c>
      <c r="C22" s="318" t="str">
        <f>IF('Język - Language'!$B$30="Polski","Unikalne grupy tworzone na potrzeby klienta / kampanii.","Unique groups created for the needs of the client or campaign.")</f>
        <v>Unikalne grupy tworzone na potrzeby klienta / kampanii.</v>
      </c>
      <c r="D22" s="1017" t="s">
        <v>104</v>
      </c>
      <c r="E22" s="1018"/>
      <c r="F22" s="1018"/>
      <c r="G22" s="1018"/>
      <c r="H22" s="1018"/>
      <c r="I22" s="1018"/>
      <c r="J22" s="1018"/>
      <c r="K22" s="1018"/>
      <c r="L22" s="1018"/>
      <c r="M22" s="1018"/>
      <c r="N22" s="1018"/>
      <c r="O22" s="1018"/>
      <c r="P22" s="1018"/>
      <c r="Q22" s="1019"/>
    </row>
    <row r="23" spans="1:19">
      <c r="A23" s="319"/>
      <c r="B23" s="323" t="str">
        <f>IF('Język - Language'!$B$30="Polski","¹ Ceny dotyczą rozliczenia vCPM zgodnego ze standardem IAB po statystykach wewnętrznych WPM. Dla innych standardów obowiązuje wycena indywidualna.","¹ The above prices concern the vCPM settlement according to the IAB standard, based on internal WPM statistics. For other standards individual valuation applies.")</f>
        <v>¹ Ceny dotyczą rozliczenia vCPM zgodnego ze standardem IAB po statystykach wewnętrznych WPM. Dla innych standardów obowiązuje wycena indywidualna.</v>
      </c>
      <c r="C23" s="319"/>
      <c r="D23" s="319"/>
      <c r="E23" s="319"/>
      <c r="F23" s="319"/>
      <c r="G23" s="319"/>
      <c r="H23" s="319"/>
      <c r="I23" s="319"/>
      <c r="J23" s="319"/>
      <c r="K23" s="319"/>
      <c r="L23" s="319"/>
      <c r="M23" s="319"/>
      <c r="N23" s="319"/>
      <c r="O23" s="319"/>
      <c r="P23" s="319"/>
      <c r="Q23" s="319"/>
    </row>
    <row r="24" spans="1:19">
      <c r="A24" s="319"/>
      <c r="B24" s="324" t="str">
        <f>IF('Język - Language'!$B$30="Polski","² na SG O2 możliwość emisji wybranych formatów reklamowych (bez Halfpage).","² in case of o2 only selected advertising formats are applicable (without Halfpage).")</f>
        <v>² na SG O2 możliwość emisji wybranych formatów reklamowych (bez Halfpage).</v>
      </c>
      <c r="C24" s="319"/>
      <c r="D24" s="319"/>
      <c r="E24" s="319"/>
      <c r="F24" s="319"/>
      <c r="G24" s="319"/>
      <c r="H24" s="319"/>
      <c r="I24" s="319"/>
      <c r="J24" s="319"/>
      <c r="K24" s="319"/>
      <c r="L24" s="319"/>
      <c r="M24" s="319"/>
      <c r="N24" s="319"/>
      <c r="O24" s="319"/>
      <c r="P24" s="319"/>
      <c r="Q24" s="319"/>
    </row>
    <row r="25" spans="1:19">
      <c r="A25" s="319"/>
      <c r="B25" s="324" t="str">
        <f>IF('Język - Language'!$B$30="Polski","³ Format dostępny na wybranych serwisach.","³ Available only in selected sites.")</f>
        <v>³ Format dostępny na wybranych serwisach.</v>
      </c>
      <c r="C25" s="319"/>
      <c r="D25" s="319"/>
      <c r="E25" s="319"/>
      <c r="F25" s="319"/>
      <c r="G25" s="319"/>
      <c r="H25" s="319"/>
      <c r="I25" s="319"/>
      <c r="J25" s="319"/>
      <c r="K25" s="319"/>
      <c r="L25" s="319"/>
      <c r="M25" s="319"/>
      <c r="N25" s="319"/>
      <c r="O25" s="319"/>
      <c r="P25" s="319"/>
      <c r="Q25" s="319"/>
    </row>
    <row r="26" spans="1:19" s="319" customFormat="1">
      <c r="B26" s="324" t="str">
        <f>IF('Język - Language'!$B$30="Polski","⁴ +20% za emisję video z kodów emisyjnych.","⁴ +20% extra charge for Video Ad broadcast from external codes.")</f>
        <v>⁴ +20% za emisję video z kodów emisyjnych.</v>
      </c>
    </row>
  </sheetData>
  <mergeCells count="66">
    <mergeCell ref="N18:O18"/>
    <mergeCell ref="N19:O19"/>
    <mergeCell ref="F12:G12"/>
    <mergeCell ref="H12:I12"/>
    <mergeCell ref="J12:K12"/>
    <mergeCell ref="L12:M12"/>
    <mergeCell ref="N12:O12"/>
    <mergeCell ref="N13:O13"/>
    <mergeCell ref="N14:O14"/>
    <mergeCell ref="N15:O15"/>
    <mergeCell ref="N16:O16"/>
    <mergeCell ref="N17:O17"/>
    <mergeCell ref="J19:K19"/>
    <mergeCell ref="L13:M13"/>
    <mergeCell ref="L14:M14"/>
    <mergeCell ref="L15:M15"/>
    <mergeCell ref="L16:M16"/>
    <mergeCell ref="L17:M17"/>
    <mergeCell ref="L18:M18"/>
    <mergeCell ref="L19:M19"/>
    <mergeCell ref="J14:K14"/>
    <mergeCell ref="J15:K15"/>
    <mergeCell ref="J16:K16"/>
    <mergeCell ref="J17:K17"/>
    <mergeCell ref="J18:K18"/>
    <mergeCell ref="D21:Q21"/>
    <mergeCell ref="D22:Q22"/>
    <mergeCell ref="R7:S10"/>
    <mergeCell ref="P7:Q8"/>
    <mergeCell ref="P11:Q11"/>
    <mergeCell ref="P9:Q10"/>
    <mergeCell ref="R11:S11"/>
    <mergeCell ref="L9:M10"/>
    <mergeCell ref="F11:O11"/>
    <mergeCell ref="N7:O8"/>
    <mergeCell ref="F13:G13"/>
    <mergeCell ref="F14:G14"/>
    <mergeCell ref="F15:G15"/>
    <mergeCell ref="F16:G16"/>
    <mergeCell ref="F17:G17"/>
    <mergeCell ref="F18:G18"/>
    <mergeCell ref="K1:Q3"/>
    <mergeCell ref="D20:Q20"/>
    <mergeCell ref="H9:I9"/>
    <mergeCell ref="J9:K10"/>
    <mergeCell ref="N9:O10"/>
    <mergeCell ref="H10:I10"/>
    <mergeCell ref="L7:M8"/>
    <mergeCell ref="F19:G19"/>
    <mergeCell ref="H13:I13"/>
    <mergeCell ref="H14:I14"/>
    <mergeCell ref="H15:I15"/>
    <mergeCell ref="H16:I16"/>
    <mergeCell ref="H17:I17"/>
    <mergeCell ref="H18:I18"/>
    <mergeCell ref="H19:I19"/>
    <mergeCell ref="J13:K13"/>
    <mergeCell ref="B7:B12"/>
    <mergeCell ref="C7:C12"/>
    <mergeCell ref="F7:G8"/>
    <mergeCell ref="H7:I7"/>
    <mergeCell ref="J7:K8"/>
    <mergeCell ref="H8:I8"/>
    <mergeCell ref="F9:G10"/>
    <mergeCell ref="D7:E10"/>
    <mergeCell ref="D11:E11"/>
  </mergeCells>
  <pageMargins left="0.7" right="0.7" top="0.75" bottom="0.75" header="0.3" footer="0.3"/>
  <pageSetup paperSize="256" fitToHeight="0" orientation="landscape" r:id="rId1"/>
  <ignoredErrors>
    <ignoredError sqref="D20 D22 D2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AA81"/>
  <sheetViews>
    <sheetView zoomScaleNormal="100" workbookViewId="0">
      <pane ySplit="4" topLeftCell="A5" activePane="bottomLeft" state="frozen"/>
      <selection pane="bottomLeft"/>
    </sheetView>
  </sheetViews>
  <sheetFormatPr defaultColWidth="11.42578125" defaultRowHeight="12.75"/>
  <cols>
    <col min="1" max="1" width="5.5703125" style="67" customWidth="1"/>
    <col min="2" max="2" width="20.42578125" style="67" customWidth="1"/>
    <col min="3" max="3" width="70.85546875" style="67" customWidth="1"/>
    <col min="4" max="4" width="43.85546875" style="67" customWidth="1"/>
    <col min="5" max="5" width="5.42578125" style="67" customWidth="1"/>
    <col min="6" max="6" width="33.42578125" style="67" customWidth="1"/>
    <col min="7" max="16384" width="11.42578125" style="67"/>
  </cols>
  <sheetData>
    <row r="1" spans="1:12" ht="12.75" customHeight="1">
      <c r="A1" s="108"/>
      <c r="B1" s="108"/>
      <c r="C1" s="589" t="str">
        <f>IF('Język - Language'!$B$30="Polski",CONCATENATE("Cennik Reklamowy Wirtualna Polska Media S.A. - obowiązuje od 1.01.2019 r.",CHAR(10),"W celu zasięgnięcia dodatkowych informacji prosimy o kontakt z Biurem Reklamy,",CHAR(10),"reklama@grupawp.pl, tel. (+48) 22 57 63 900; fax (+48) 22 57 63 959"),CONCATENATE("Advertising price list of Wirtualna Polska Media S.A. - valid from January 1, 2019",CHAR(10),"For further information please contact the Advertising Office of WP,",CHAR(10),"reklama@grupawp.pl, phone (+48) 22 57 63 900; fax (+48) 22 57 63 959"))</f>
        <v>Cennik Reklamowy Wirtualna Polska Media S.A. - obowiązuje od 1.01.2019 r.
W celu zasięgnięcia dodatkowych informacji prosimy o kontakt z Biurem Reklamy,
reklama@grupawp.pl, tel. (+48) 22 57 63 900; fax (+48) 22 57 63 959</v>
      </c>
      <c r="D1" s="589"/>
      <c r="E1" s="72"/>
      <c r="F1" s="72"/>
      <c r="G1" s="319"/>
      <c r="H1" s="319"/>
      <c r="I1" s="319"/>
      <c r="J1" s="319"/>
      <c r="K1" s="319"/>
      <c r="L1" s="319"/>
    </row>
    <row r="2" spans="1:12" ht="12.75" customHeight="1">
      <c r="A2" s="108"/>
      <c r="B2" s="108"/>
      <c r="C2" s="589"/>
      <c r="D2" s="589"/>
      <c r="E2" s="72"/>
      <c r="F2" s="72"/>
      <c r="G2" s="319"/>
      <c r="H2" s="319"/>
      <c r="I2" s="319"/>
      <c r="J2" s="319"/>
      <c r="K2" s="319"/>
      <c r="L2" s="319"/>
    </row>
    <row r="3" spans="1:12" ht="12.75" customHeight="1">
      <c r="A3" s="108"/>
      <c r="B3" s="108"/>
      <c r="C3" s="589"/>
      <c r="D3" s="589"/>
      <c r="E3" s="72"/>
      <c r="F3" s="72"/>
      <c r="G3" s="319"/>
      <c r="H3" s="319"/>
      <c r="I3" s="319"/>
      <c r="J3" s="319"/>
      <c r="K3" s="319"/>
      <c r="L3" s="319"/>
    </row>
    <row r="4" spans="1:12" s="34" customFormat="1" ht="12.75" customHeight="1">
      <c r="A4" s="322"/>
      <c r="B4" s="35" t="str">
        <f>IF('Język - Language'!$B$30="Polski","            Opcje emisji, dopłaty i uwagi dodatkowe","            Extra charges, additional service and further comments")</f>
        <v xml:space="preserve">            Opcje emisji, dopłaty i uwagi dodatkowe</v>
      </c>
      <c r="C4" s="36"/>
      <c r="D4" s="312" t="str">
        <f>IF('Język - Language'!$B$30="Polski","PL","EN")</f>
        <v>PL</v>
      </c>
      <c r="E4" s="322"/>
      <c r="F4" s="322"/>
      <c r="G4" s="322"/>
      <c r="H4" s="322"/>
      <c r="I4" s="322"/>
      <c r="J4" s="322"/>
      <c r="K4" s="322"/>
      <c r="L4" s="322"/>
    </row>
    <row r="5" spans="1:12" ht="12.75" customHeight="1">
      <c r="A5" s="319"/>
      <c r="B5" s="319"/>
      <c r="C5" s="319"/>
      <c r="D5" s="319"/>
      <c r="E5" s="319"/>
      <c r="F5" s="319"/>
      <c r="G5" s="319"/>
      <c r="H5" s="319"/>
      <c r="I5" s="319"/>
      <c r="J5" s="319"/>
      <c r="K5" s="319"/>
      <c r="L5" s="319"/>
    </row>
    <row r="6" spans="1:12" ht="12.75" customHeight="1">
      <c r="A6" s="319"/>
      <c r="B6" s="313"/>
      <c r="C6" s="313"/>
      <c r="D6" s="313"/>
      <c r="E6" s="319"/>
      <c r="F6" s="319"/>
      <c r="G6" s="319"/>
      <c r="H6" s="319"/>
      <c r="I6" s="319"/>
      <c r="J6" s="319"/>
      <c r="K6" s="319"/>
      <c r="L6" s="319"/>
    </row>
    <row r="7" spans="1:12" ht="25.5" customHeight="1">
      <c r="A7" s="313"/>
      <c r="B7" s="857" t="str">
        <f>IF('Język - Language'!$B$30="Polski","OPCJE EMISJI","ADDITIONAL OPTIONS")</f>
        <v>OPCJE EMISJI</v>
      </c>
      <c r="C7" s="857"/>
      <c r="D7" s="414" t="str">
        <f>IF('Język - Language'!$B$30="Polski","DOPŁATA","EXTRA CHARGE")</f>
        <v>DOPŁATA</v>
      </c>
      <c r="E7" s="319"/>
      <c r="F7" s="319"/>
      <c r="G7" s="319"/>
      <c r="H7" s="319"/>
      <c r="I7" s="319"/>
      <c r="J7" s="319"/>
      <c r="K7" s="319"/>
      <c r="L7" s="319"/>
    </row>
    <row r="8" spans="1:12" s="259" customFormat="1" ht="12.75" customHeight="1">
      <c r="A8" s="319"/>
      <c r="B8" s="1033" t="str">
        <f>IF('Język - Language'!$B$30="Polski","Umieszczenie reklamy w wybranym przedziale godzinowym","Displaying ad in selected hourly time slots")</f>
        <v>Umieszczenie reklamy w wybranym przedziale godzinowym</v>
      </c>
      <c r="C8" s="1033"/>
      <c r="D8" s="416" t="s">
        <v>105</v>
      </c>
      <c r="E8" s="21"/>
      <c r="F8" s="152"/>
      <c r="G8" s="152"/>
      <c r="H8" s="152"/>
      <c r="I8" s="73"/>
      <c r="J8" s="73"/>
      <c r="K8" s="73"/>
      <c r="L8" s="73"/>
    </row>
    <row r="9" spans="1:12" ht="12.75" customHeight="1">
      <c r="A9" s="319"/>
      <c r="B9" s="640" t="str">
        <f>IF('Język - Language'!$B$30="Polski","Umieszczenie reklamy w wybranym przedziale godzinowym w opcji last minute","Displaying ad in selected hourly time slots (last minute)")</f>
        <v>Umieszczenie reklamy w wybranym przedziale godzinowym w opcji last minute</v>
      </c>
      <c r="C9" s="642"/>
      <c r="D9" s="416" t="s">
        <v>106</v>
      </c>
      <c r="E9" s="21"/>
      <c r="F9" s="152"/>
      <c r="G9" s="152"/>
      <c r="H9" s="152"/>
      <c r="I9" s="73"/>
      <c r="J9" s="73"/>
      <c r="K9" s="73"/>
      <c r="L9" s="73"/>
    </row>
    <row r="10" spans="1:12" ht="12.75" customHeight="1">
      <c r="A10" s="319"/>
      <c r="B10" s="1033" t="str">
        <f>IF('Język - Language'!$B$30="Polski","Ukierunkowanie reklamy do użytkowników wybranej przeglądarki internetowej","Directing ad to users using selected internet browser")</f>
        <v>Ukierunkowanie reklamy do użytkowników wybranej przeglądarki internetowej</v>
      </c>
      <c r="C10" s="1033"/>
      <c r="D10" s="417" t="s">
        <v>105</v>
      </c>
      <c r="E10" s="319"/>
      <c r="F10" s="152"/>
      <c r="G10" s="152"/>
      <c r="H10" s="152"/>
      <c r="I10" s="313"/>
      <c r="J10" s="313"/>
      <c r="K10" s="313"/>
      <c r="L10" s="313"/>
    </row>
    <row r="11" spans="1:12" ht="12.75" customHeight="1">
      <c r="A11" s="319"/>
      <c r="B11" s="1029" t="str">
        <f>IF('Język - Language'!$B$30="Polski","Ukierunkowanie reklamy do użytkowników wybranego systemu operacyjnego","Directing ad to users using selected operational system")</f>
        <v>Ukierunkowanie reklamy do użytkowników wybranego systemu operacyjnego</v>
      </c>
      <c r="C11" s="1029"/>
      <c r="D11" s="417" t="s">
        <v>106</v>
      </c>
      <c r="E11" s="319"/>
      <c r="F11" s="152"/>
      <c r="G11" s="152"/>
      <c r="H11" s="152"/>
      <c r="I11" s="1027"/>
      <c r="J11" s="1027"/>
      <c r="K11" s="1027"/>
      <c r="L11" s="74"/>
    </row>
    <row r="12" spans="1:12" ht="12.75" customHeight="1">
      <c r="A12" s="319"/>
      <c r="B12" s="808" t="str">
        <f>IF('Język - Language'!$B$30="Polski","Ukierunkowanie reklamy do użytkowników wybranej marki lub modelu telefonu","Directing ad to users of selected brand or type of cell phone")</f>
        <v>Ukierunkowanie reklamy do użytkowników wybranej marki lub modelu telefonu</v>
      </c>
      <c r="C12" s="808"/>
      <c r="D12" s="417" t="s">
        <v>105</v>
      </c>
      <c r="E12" s="319"/>
      <c r="F12" s="152"/>
      <c r="G12" s="152"/>
      <c r="H12" s="152"/>
      <c r="I12" s="1027"/>
      <c r="J12" s="1027"/>
      <c r="K12" s="1027"/>
      <c r="L12" s="74"/>
    </row>
    <row r="13" spans="1:12" ht="12.75" customHeight="1">
      <c r="A13" s="319"/>
      <c r="B13" s="1029" t="str">
        <f>IF('Język - Language'!$B$30="Polski","Ograniczenie ilości odsłon reklamy do pojedynczego użytkownika","Capping ad to single users")</f>
        <v>Ograniczenie ilości odsłon reklamy do pojedynczego użytkownika</v>
      </c>
      <c r="C13" s="1029"/>
      <c r="D13" s="417" t="s">
        <v>106</v>
      </c>
      <c r="E13" s="21"/>
      <c r="F13" s="152"/>
      <c r="G13" s="152"/>
      <c r="H13" s="152"/>
      <c r="I13" s="1027"/>
      <c r="J13" s="1027"/>
      <c r="K13" s="1027"/>
      <c r="L13" s="74"/>
    </row>
    <row r="14" spans="1:12" ht="12.75" customHeight="1">
      <c r="A14" s="319"/>
      <c r="B14" s="640" t="str">
        <f>IF('Język - Language'!$B$30="Polski","Targetowanie po operatorach (Play, Plus, T-mobile, Orange)","Directing ad to users who use Play, Plus, T-mobile or Orange provider ")</f>
        <v>Targetowanie po operatorach (Play, Plus, T-mobile, Orange)</v>
      </c>
      <c r="C14" s="642"/>
      <c r="D14" s="417" t="s">
        <v>104</v>
      </c>
      <c r="E14" s="319"/>
      <c r="F14" s="152"/>
      <c r="G14" s="152"/>
      <c r="H14" s="152"/>
      <c r="I14" s="1027"/>
      <c r="J14" s="1027"/>
      <c r="K14" s="1027"/>
      <c r="L14" s="74"/>
    </row>
    <row r="15" spans="1:12" ht="12.75" customHeight="1">
      <c r="A15" s="319"/>
      <c r="B15" s="640"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5" s="642"/>
      <c r="D15" s="417" t="s">
        <v>103</v>
      </c>
      <c r="E15" s="319"/>
      <c r="F15" s="152"/>
      <c r="G15" s="152"/>
      <c r="H15" s="152"/>
      <c r="I15" s="420"/>
      <c r="J15" s="420"/>
      <c r="K15" s="420"/>
      <c r="L15" s="74"/>
    </row>
    <row r="16" spans="1:12" ht="12.75" customHeight="1">
      <c r="A16" s="319"/>
      <c r="B16" s="1028" t="str">
        <f>IF('Język - Language'!$B$30="Polski","Wideo w kreacji ","Adding video in creative")</f>
        <v xml:space="preserve">Wideo w kreacji </v>
      </c>
      <c r="C16" s="1028"/>
      <c r="D16" s="417" t="s">
        <v>104</v>
      </c>
      <c r="E16" s="21"/>
      <c r="F16" s="152"/>
      <c r="G16" s="152"/>
      <c r="H16" s="152"/>
      <c r="I16" s="1030"/>
      <c r="J16" s="1030"/>
      <c r="K16" s="1030"/>
      <c r="L16" s="74"/>
    </row>
    <row r="17" spans="2:12" ht="12.75" customHeight="1">
      <c r="B17" s="1028" t="str">
        <f>IF('Język - Language'!$B$30="Polski","Gwarancja pierwszej pozycji w bloku reklamowym","A guarantee of the first ad position in advertising/placement block")</f>
        <v>Gwarancja pierwszej pozycji w bloku reklamowym</v>
      </c>
      <c r="C17" s="1028"/>
      <c r="D17" s="417" t="s">
        <v>107</v>
      </c>
      <c r="E17" s="21"/>
      <c r="F17" s="152"/>
      <c r="G17" s="152"/>
      <c r="H17" s="152"/>
      <c r="I17" s="422"/>
      <c r="J17" s="422"/>
      <c r="K17" s="422"/>
      <c r="L17" s="74"/>
    </row>
    <row r="18" spans="2:12" ht="12.75" customHeight="1">
      <c r="B18" s="1028" t="str">
        <f>IF('Język - Language'!$B$30="Polski","Emisja wyłącznie na wybranej części serwisu","Displaying ad in selected pages of a given site")</f>
        <v>Emisja wyłącznie na wybranej części serwisu</v>
      </c>
      <c r="C18" s="1028"/>
      <c r="D18" s="417" t="s">
        <v>104</v>
      </c>
      <c r="E18" s="21"/>
      <c r="F18" s="152"/>
      <c r="G18" s="152"/>
      <c r="H18" s="152"/>
      <c r="I18" s="1030"/>
      <c r="J18" s="1030"/>
      <c r="K18" s="1030"/>
      <c r="L18" s="74"/>
    </row>
    <row r="19" spans="2:12" ht="12.75" customHeight="1">
      <c r="B19" s="640" t="str">
        <f>IF('Język - Language'!$B$30="Polski","Tapeta: klikalna / animowana / interakwywna / z kurtyną","Clicable / animated watermark")</f>
        <v>Tapeta: klikalna / animowana / interakwywna / z kurtyną</v>
      </c>
      <c r="C19" s="642"/>
      <c r="D19" s="417" t="s">
        <v>104</v>
      </c>
      <c r="E19" s="319"/>
      <c r="F19" s="152"/>
      <c r="G19" s="152"/>
      <c r="H19" s="152"/>
      <c r="I19" s="1027"/>
      <c r="J19" s="1027"/>
      <c r="K19" s="1027"/>
      <c r="L19" s="74"/>
    </row>
    <row r="20" spans="2:12" ht="12.75" customHeight="1">
      <c r="B20" s="1028" t="str">
        <f>IF('Język - Language'!$B$30="Polski","Wyświetlanie kreacji reklamowych w określonej sekwencji","Displaying ads sequentionally")</f>
        <v>Wyświetlanie kreacji reklamowych w określonej sekwencji</v>
      </c>
      <c r="C20" s="1028"/>
      <c r="D20" s="417" t="s">
        <v>105</v>
      </c>
      <c r="E20" s="21"/>
      <c r="F20" s="152"/>
      <c r="G20" s="152"/>
      <c r="H20" s="152"/>
      <c r="I20" s="1027"/>
      <c r="J20" s="1027"/>
      <c r="K20" s="1027"/>
      <c r="L20" s="74"/>
    </row>
    <row r="21" spans="2:12" ht="12.75" customHeight="1">
      <c r="B21" s="1029" t="str">
        <f>IF('Język - Language'!$B$30="Polski","Logo drugiego klienta w kreacji","Adding second brand in a creative")</f>
        <v>Logo drugiego klienta w kreacji</v>
      </c>
      <c r="C21" s="1029"/>
      <c r="D21" s="417" t="s">
        <v>108</v>
      </c>
      <c r="E21" s="319"/>
      <c r="F21" s="152"/>
      <c r="G21" s="152"/>
      <c r="H21" s="152"/>
      <c r="I21" s="1027"/>
      <c r="J21" s="1027"/>
      <c r="K21" s="1027"/>
      <c r="L21" s="74"/>
    </row>
    <row r="22" spans="2:12" ht="12.75" customHeight="1">
      <c r="B22" s="1029" t="str">
        <f>IF('Język - Language'!$B$30="Polski","Każde następne logo w kreacji","Further brands in a creative")</f>
        <v>Każde następne logo w kreacji</v>
      </c>
      <c r="C22" s="1029"/>
      <c r="D22" s="417" t="s">
        <v>105</v>
      </c>
      <c r="E22" s="319"/>
      <c r="F22" s="152"/>
      <c r="G22" s="152"/>
      <c r="H22" s="152"/>
      <c r="I22" s="1027"/>
      <c r="J22" s="1027"/>
      <c r="K22" s="1027"/>
      <c r="L22" s="313"/>
    </row>
    <row r="23" spans="2:12" s="319" customFormat="1" ht="12.75" customHeight="1">
      <c r="B23" s="640" t="s">
        <v>224</v>
      </c>
      <c r="C23" s="642"/>
      <c r="D23" s="417" t="s">
        <v>105</v>
      </c>
      <c r="F23" s="152"/>
      <c r="G23" s="152"/>
      <c r="H23" s="152"/>
      <c r="I23" s="563"/>
      <c r="J23" s="563"/>
      <c r="K23" s="563"/>
      <c r="L23" s="313"/>
    </row>
    <row r="24" spans="2:12" ht="12.75" customHeight="1">
      <c r="B24" s="1029" t="str">
        <f>IF('Język - Language'!$B$30="Polski","Przekroczenie wagi kreacji za każdy procent przekroczenia","Exceeding the ad weight for each per cent in excess")</f>
        <v>Przekroczenie wagi kreacji za każdy procent przekroczenia</v>
      </c>
      <c r="C24" s="1029"/>
      <c r="D24" s="417" t="s">
        <v>109</v>
      </c>
      <c r="E24" s="75"/>
      <c r="F24" s="152"/>
      <c r="G24" s="152"/>
      <c r="H24" s="152"/>
      <c r="I24" s="313"/>
      <c r="J24" s="313"/>
      <c r="K24" s="313"/>
      <c r="L24" s="313"/>
    </row>
    <row r="25" spans="2:12" ht="12.75" customHeight="1">
      <c r="B25" s="1029" t="str">
        <f>IF('Język - Language'!$B$30="Polski","Scrollowanie i expandowanie formy reklamowej","Scrolling and expanding of ads ")</f>
        <v>Scrollowanie i expandowanie formy reklamowej</v>
      </c>
      <c r="C25" s="1029"/>
      <c r="D25" s="417" t="s">
        <v>103</v>
      </c>
      <c r="E25" s="21"/>
      <c r="F25" s="152"/>
      <c r="G25" s="152"/>
      <c r="H25" s="152"/>
      <c r="I25" s="319"/>
      <c r="J25" s="319"/>
      <c r="K25" s="319"/>
      <c r="L25" s="319"/>
    </row>
    <row r="26" spans="2:12" s="126" customFormat="1" ht="12.75" customHeight="1">
      <c r="B26" s="640" t="str">
        <f>IF('Język - Language'!$B$30="Polski","Paralaxa w kreacji","Parallax in a creative")</f>
        <v>Paralaxa w kreacji</v>
      </c>
      <c r="C26" s="642"/>
      <c r="D26" s="417" t="s">
        <v>106</v>
      </c>
      <c r="E26" s="21"/>
      <c r="F26" s="152"/>
      <c r="G26" s="152"/>
      <c r="H26" s="152"/>
      <c r="I26" s="319"/>
      <c r="J26" s="319"/>
      <c r="K26" s="319"/>
      <c r="L26" s="319"/>
    </row>
    <row r="27" spans="2:12" s="319" customFormat="1" ht="12.75" customHeight="1">
      <c r="B27" s="640" t="str">
        <f>IF('Język - Language'!$B$30="Polski","Scroller, slider, cube w kreacji","Scroller, slider, cube in a creative")</f>
        <v>Scroller, slider, cube w kreacji</v>
      </c>
      <c r="C27" s="642"/>
      <c r="D27" s="417" t="s">
        <v>104</v>
      </c>
      <c r="E27" s="21"/>
      <c r="F27" s="152"/>
      <c r="G27" s="152"/>
      <c r="H27" s="152"/>
    </row>
    <row r="28" spans="2:12" s="319" customFormat="1" ht="12.75" customHeight="1">
      <c r="B28" s="640" t="s">
        <v>233</v>
      </c>
      <c r="C28" s="642"/>
      <c r="D28" s="417" t="s">
        <v>234</v>
      </c>
      <c r="E28" s="21"/>
      <c r="F28" s="152"/>
      <c r="G28" s="152"/>
      <c r="H28" s="152"/>
    </row>
    <row r="29" spans="2:12" ht="12.75" customHeight="1">
      <c r="B29" s="1029" t="str">
        <f>IF('Język - Language'!$B$30="Polski","Mega formaty","Mega Formats")</f>
        <v>Mega formaty</v>
      </c>
      <c r="C29" s="1029"/>
      <c r="D29" s="274" t="str">
        <f>IF('Język - Language'!$B$30="Polski","+50% do ceny formy podstawowej","+50% to basic format price")</f>
        <v>+50% do ceny formy podstawowej</v>
      </c>
      <c r="E29" s="319"/>
      <c r="F29" s="152"/>
      <c r="G29" s="152"/>
      <c r="H29" s="152"/>
      <c r="I29" s="319"/>
      <c r="J29" s="319"/>
      <c r="K29" s="319"/>
      <c r="L29" s="319"/>
    </row>
    <row r="30" spans="2:12" ht="12.75" customHeight="1">
      <c r="B30" s="1028" t="str">
        <f>IF('Język - Language'!$B$30="Polski","Połączenie dwóch form reklamowych","Mixing two ads")</f>
        <v>Połączenie dwóch form reklamowych</v>
      </c>
      <c r="C30" s="1028"/>
      <c r="D30" s="274" t="str">
        <f>IF('Język - Language'!$B$30="Polski","łącznie 150% ceny droższej formy","total of 150% of the price of most expensive format")</f>
        <v>łącznie 150% ceny droższej formy</v>
      </c>
      <c r="E30" s="319"/>
      <c r="F30" s="152"/>
      <c r="G30" s="152"/>
      <c r="H30" s="152"/>
      <c r="I30" s="319"/>
      <c r="J30" s="319"/>
      <c r="K30" s="319"/>
      <c r="L30" s="319"/>
    </row>
    <row r="31" spans="2:12" ht="12.75" customHeight="1">
      <c r="B31" s="387" t="str">
        <f>IF('Język - Language'!$B$30="Polski","Site-takeover","Site-takeover")</f>
        <v>Site-takeover</v>
      </c>
      <c r="C31" s="388"/>
      <c r="D31" s="274" t="s">
        <v>103</v>
      </c>
      <c r="E31" s="319"/>
      <c r="F31" s="152"/>
      <c r="G31" s="152"/>
      <c r="H31" s="152"/>
      <c r="I31" s="319"/>
      <c r="J31" s="319"/>
      <c r="K31" s="319"/>
      <c r="L31" s="319"/>
    </row>
    <row r="32" spans="2:12" ht="12.75" customHeight="1">
      <c r="B32" s="640" t="str">
        <f>IF('Język - Language'!$B$30="Polski","Zmiana kreacji w trakcie trwania kampanii display i w mailingu","Changing creative in display and mailing")</f>
        <v>Zmiana kreacji w trakcie trwania kampanii display i w mailingu</v>
      </c>
      <c r="C32" s="642"/>
      <c r="D32" s="274" t="str">
        <f>IF('Język - Language'!$B$30="Polski","+10% za każdą kreację","+10% for each creative")</f>
        <v>+10% za każdą kreację</v>
      </c>
      <c r="E32" s="319"/>
      <c r="F32" s="152"/>
      <c r="G32" s="152"/>
      <c r="H32" s="152"/>
      <c r="I32" s="319"/>
      <c r="J32" s="319"/>
      <c r="K32" s="319"/>
      <c r="L32" s="319"/>
    </row>
    <row r="33" spans="1:12" s="263" customFormat="1" ht="12.75" customHeight="1">
      <c r="B33" s="640"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3" s="642"/>
      <c r="D33" s="417" t="s">
        <v>105</v>
      </c>
      <c r="E33" s="319"/>
      <c r="F33" s="152"/>
      <c r="G33" s="152"/>
      <c r="H33" s="152"/>
      <c r="I33" s="319"/>
      <c r="J33" s="319"/>
      <c r="K33" s="319"/>
      <c r="L33" s="319"/>
    </row>
    <row r="34" spans="1:12" s="319" customFormat="1" ht="12.75" customHeight="1">
      <c r="B34" s="640" t="s">
        <v>227</v>
      </c>
      <c r="C34" s="642"/>
      <c r="D34" s="417" t="s">
        <v>226</v>
      </c>
      <c r="F34" s="152"/>
      <c r="G34" s="152"/>
      <c r="H34" s="152"/>
    </row>
    <row r="35" spans="1:12" s="115" customFormat="1" ht="12.75" customHeight="1">
      <c r="B35" s="1031" t="str">
        <f>IF('Język - Language'!$B$30="Polski","Wydłużenie spotu CPV powyżej standardowej długości","Extension of time of Instream Video Ad")</f>
        <v>Wydłużenie spotu CPV powyżej standardowej długości</v>
      </c>
      <c r="C35" s="1032"/>
      <c r="D35" s="275"/>
      <c r="E35" s="319"/>
      <c r="F35" s="69"/>
      <c r="G35" s="319"/>
      <c r="H35" s="319"/>
      <c r="I35" s="319"/>
      <c r="J35" s="319"/>
      <c r="K35" s="319"/>
      <c r="L35" s="319"/>
    </row>
    <row r="36" spans="1:12" s="115" customFormat="1" ht="12.75" customHeight="1">
      <c r="B36" s="276"/>
      <c r="C36" s="277" t="str">
        <f>IF('Język - Language'!$B$30="Polski",CONCATENATE("do 35",CHAR(34)),CONCATENATE("up to 35",CHAR(34)))</f>
        <v>do 35"</v>
      </c>
      <c r="D36" s="275" t="s">
        <v>110</v>
      </c>
      <c r="E36" s="319"/>
      <c r="F36" s="69"/>
      <c r="G36" s="319"/>
      <c r="H36" s="319"/>
      <c r="I36" s="319"/>
      <c r="J36" s="319"/>
      <c r="K36" s="319"/>
      <c r="L36" s="319"/>
    </row>
    <row r="37" spans="1:12" s="115" customFormat="1" ht="12.75" customHeight="1">
      <c r="A37" s="319"/>
      <c r="B37" s="276"/>
      <c r="C37" s="277" t="str">
        <f>IF('Język - Language'!$B$30="Polski",CONCATENATE("do 40",CHAR(34)),CONCATENATE("up to 40",CHAR(34)))</f>
        <v>do 40"</v>
      </c>
      <c r="D37" s="275" t="s">
        <v>105</v>
      </c>
      <c r="E37" s="319"/>
      <c r="F37" s="69"/>
    </row>
    <row r="38" spans="1:12" s="115" customFormat="1" ht="12.75" customHeight="1">
      <c r="A38" s="319"/>
      <c r="B38" s="276"/>
      <c r="C38" s="277" t="str">
        <f>IF('Język - Language'!$B$30="Polski",CONCATENATE("do 45",CHAR(34)),CONCATENATE("up to 45",CHAR(34)))</f>
        <v>do 45"</v>
      </c>
      <c r="D38" s="275" t="s">
        <v>108</v>
      </c>
      <c r="E38" s="319"/>
      <c r="F38" s="69"/>
    </row>
    <row r="39" spans="1:12" s="115" customFormat="1" ht="12.75" customHeight="1">
      <c r="A39" s="319"/>
      <c r="B39" s="276"/>
      <c r="C39" s="277" t="str">
        <f>IF('Język - Language'!$B$30="Polski",CONCATENATE("do 50",CHAR(34)),CONCATENATE("up to 50",CHAR(34)))</f>
        <v>do 50"</v>
      </c>
      <c r="D39" s="275" t="s">
        <v>104</v>
      </c>
      <c r="E39" s="319"/>
      <c r="F39" s="69"/>
    </row>
    <row r="40" spans="1:12" s="115" customFormat="1" ht="12.75" customHeight="1">
      <c r="A40" s="319"/>
      <c r="B40" s="276"/>
      <c r="C40" s="277" t="str">
        <f>IF('Język - Language'!$B$30="Polski",CONCATENATE("do 55",CHAR(34)),CONCATENATE("up to 55",CHAR(34)))</f>
        <v>do 55"</v>
      </c>
      <c r="D40" s="275" t="s">
        <v>111</v>
      </c>
      <c r="E40" s="319"/>
      <c r="F40" s="69"/>
    </row>
    <row r="41" spans="1:12" s="115" customFormat="1" ht="12.75" customHeight="1">
      <c r="A41" s="319"/>
      <c r="B41" s="569"/>
      <c r="C41" s="570" t="str">
        <f>IF('Język - Language'!$B$30="Polski",CONCATENATE("do 60",CHAR(34)),CONCATENATE("up to 60",CHAR(34)))</f>
        <v>do 60"</v>
      </c>
      <c r="D41" s="416" t="s">
        <v>103</v>
      </c>
      <c r="E41" s="319"/>
      <c r="F41" s="69"/>
    </row>
    <row r="42" spans="1:12" ht="12.75" customHeight="1">
      <c r="A42" s="319"/>
      <c r="B42" s="1033" t="str">
        <f>IF('Język - Language'!$B$30="Polski","Reklama piwa","Beer advertising")</f>
        <v>Reklama piwa</v>
      </c>
      <c r="C42" s="1033"/>
      <c r="D42" s="279" t="s">
        <v>112</v>
      </c>
      <c r="E42" s="319"/>
      <c r="F42" s="319"/>
    </row>
    <row r="43" spans="1:12" ht="12.75" customHeight="1">
      <c r="A43" s="319"/>
      <c r="B43" s="808" t="str">
        <f>IF('Język - Language'!$B$30="Polski","Targetowanie demograficzne","Demographic targeting")</f>
        <v>Targetowanie demograficzne</v>
      </c>
      <c r="C43" s="808"/>
      <c r="D43" s="274" t="str">
        <f>IF('Język - Language'!$B$30="Polski","+25% za każde kryterium","+25% for each criterion")</f>
        <v>+25% za każde kryterium</v>
      </c>
      <c r="E43" s="319"/>
      <c r="F43" s="76"/>
    </row>
    <row r="44" spans="1:12" ht="12.75" customHeight="1">
      <c r="A44" s="319"/>
      <c r="B44" s="1028" t="str">
        <f>IF('Język - Language'!$B$30="Polski","Targetowanie geograficzne","Geographic targeting")</f>
        <v>Targetowanie geograficzne</v>
      </c>
      <c r="C44" s="1028"/>
      <c r="D44" s="274" t="str">
        <f>IF('Język - Language'!$B$30="Polski","+50% za każde kryterium","+50% for each criterion")</f>
        <v>+50% za każde kryterium</v>
      </c>
      <c r="E44" s="319"/>
      <c r="F44" s="127"/>
    </row>
    <row r="45" spans="1:12" s="92" customFormat="1" ht="12.75" customHeight="1">
      <c r="A45" s="319"/>
      <c r="B45" s="1029" t="str">
        <f>IF('Język - Language'!$B$30="Polski","Targetowanie po kategoriach IAB (na wybranej powierzchni)","IAB categories targeting")</f>
        <v>Targetowanie po kategoriach IAB (na wybranej powierzchni)</v>
      </c>
      <c r="C45" s="1029"/>
      <c r="D45" s="274" t="str">
        <f>IF('Język - Language'!$B$30="Polski","+25% za każde kryterium","+25% for each criterion")</f>
        <v>+25% za każde kryterium</v>
      </c>
      <c r="E45" s="319"/>
      <c r="F45" s="77"/>
    </row>
    <row r="46" spans="1:12" ht="12.75" customHeight="1">
      <c r="A46" s="319"/>
      <c r="B46" s="1029" t="str">
        <f>IF('Język - Language'!$B$30="Polski","Retargetowanie","Retargeting")</f>
        <v>Retargetowanie</v>
      </c>
      <c r="C46" s="1029"/>
      <c r="D46" s="280" t="s">
        <v>103</v>
      </c>
      <c r="E46" s="21"/>
      <c r="F46" s="319"/>
    </row>
    <row r="47" spans="1:12" s="319" customFormat="1" ht="12.75" customHeight="1">
      <c r="B47" s="640" t="s">
        <v>124</v>
      </c>
      <c r="C47" s="642"/>
      <c r="D47" s="280" t="s">
        <v>104</v>
      </c>
      <c r="E47" s="21"/>
    </row>
    <row r="48" spans="1:12" ht="12.75" customHeight="1">
      <c r="A48" s="319"/>
      <c r="B48" s="1028" t="str">
        <f>IF('Język - Language'!$B$30="Polski","Wybór emisji tylko na jednym portalu","Selecting either WP or O2 (display and mailing)")</f>
        <v>Wybór emisji tylko na jednym portalu</v>
      </c>
      <c r="C48" s="1028"/>
      <c r="D48" s="280" t="s">
        <v>105</v>
      </c>
      <c r="E48" s="319"/>
      <c r="F48" s="319"/>
    </row>
    <row r="49" spans="1:7" ht="12.75" customHeight="1">
      <c r="A49" s="319"/>
      <c r="B49" s="1028" t="str">
        <f>IF('Język - Language'!$B$30="Polski","Optymalizacja big data w mailingach","Big data optimalization")</f>
        <v>Optymalizacja big data w mailingach</v>
      </c>
      <c r="C49" s="1028"/>
      <c r="D49" s="281" t="s">
        <v>104</v>
      </c>
      <c r="E49" s="319"/>
      <c r="F49" s="319"/>
    </row>
    <row r="50" spans="1:7" ht="25.5" customHeight="1">
      <c r="A50" s="319"/>
      <c r="B50" s="856" t="str">
        <f>IF('Język - Language'!$B$30="Polski","DODATKOWE OPCJE W MAILINGU","MAILING ADDITIONAL OPTIONS")</f>
        <v>DODATKOWE OPCJE W MAILINGU</v>
      </c>
      <c r="C50" s="856"/>
      <c r="D50" s="385" t="str">
        <f>IF('Język - Language'!$B$30="Polski","DOPŁATA","EXTRA CHARGE")</f>
        <v>DOPŁATA</v>
      </c>
      <c r="E50" s="319"/>
      <c r="F50" s="319"/>
    </row>
    <row r="51" spans="1:7" ht="12.75" customHeight="1">
      <c r="A51" s="319"/>
      <c r="B51" s="808" t="str">
        <f>IF('Język - Language'!$B$30="Polski","Mailing do bazy użytkowników wybranego portalu (tylko o2.pl lub tylko WP.pl)","Advertising mailing to o2 email services only or WP email services only")</f>
        <v>Mailing do bazy użytkowników wybranego portalu (tylko o2.pl lub tylko WP.pl)</v>
      </c>
      <c r="C51" s="808"/>
      <c r="D51" s="278" t="s">
        <v>105</v>
      </c>
      <c r="E51" s="319"/>
      <c r="F51" s="319"/>
    </row>
    <row r="52" spans="1:7" ht="12.75" customHeight="1">
      <c r="A52" s="319"/>
      <c r="B52" s="640" t="str">
        <f>IF('Język - Language'!$B$30="Polski","Odznaczanie bazy mailingowej","Odznaczanie bazy mailingowej")</f>
        <v>Odznaczanie bazy mailingowej</v>
      </c>
      <c r="C52" s="642"/>
      <c r="D52" s="282" t="s">
        <v>104</v>
      </c>
      <c r="E52" s="319"/>
      <c r="F52" s="69"/>
    </row>
    <row r="53" spans="1:7" s="129" customFormat="1" ht="12.75" customHeight="1">
      <c r="A53" s="193"/>
      <c r="B53" s="640" t="str">
        <f>IF('Język - Language'!$B$30="Polski","Wysyłka mailingu w częściach - za drugą i każdą następną część","Mailing in parts - for second and every next part")</f>
        <v>Wysyłka mailingu w częściach - za drugą i każdą następną część</v>
      </c>
      <c r="C53" s="642"/>
      <c r="D53" s="280" t="s">
        <v>105</v>
      </c>
      <c r="E53" s="319"/>
      <c r="F53" s="319"/>
    </row>
    <row r="54" spans="1:7" s="129" customFormat="1" ht="12.75" customHeight="1">
      <c r="A54" s="193"/>
      <c r="B54" s="640" t="str">
        <f>IF('Język - Language'!$B$30="Polski","Retargetowanie mailingu","Retargeted mailing")</f>
        <v>Retargetowanie mailingu</v>
      </c>
      <c r="C54" s="642"/>
      <c r="D54" s="280" t="s">
        <v>103</v>
      </c>
      <c r="E54" s="319"/>
      <c r="F54" s="319"/>
      <c r="G54" s="319"/>
    </row>
    <row r="55" spans="1:7" s="129" customFormat="1" ht="12.75" customHeight="1">
      <c r="A55" s="193"/>
      <c r="B55" s="640" t="str">
        <f>IF('Język - Language'!$B$30="Polski","Personalizacja mailingu WP (login, imię, nazwisko)","Personalization in WP Mailing (login, name, surname)")</f>
        <v>Personalizacja mailingu WP (login, imię, nazwisko)</v>
      </c>
      <c r="C55" s="642"/>
      <c r="D55" s="280" t="s">
        <v>104</v>
      </c>
      <c r="E55" s="319"/>
      <c r="F55" s="319"/>
      <c r="G55" s="319"/>
    </row>
    <row r="56" spans="1:7" s="129" customFormat="1" ht="12.75" customHeight="1">
      <c r="A56" s="313"/>
      <c r="B56" s="640" t="str">
        <f>IF('Język - Language'!$B$30="Polski","Dopłata za TG dotyczący produktów alkoholowych (inne niż piwo)","Special target to advertise alcoholic products (other than beer)")</f>
        <v>Dopłata za TG dotyczący produktów alkoholowych (inne niż piwo)</v>
      </c>
      <c r="C56" s="642"/>
      <c r="D56" s="280" t="s">
        <v>104</v>
      </c>
      <c r="E56" s="319"/>
      <c r="F56" s="319"/>
      <c r="G56" s="319"/>
    </row>
    <row r="57" spans="1:7" s="129" customFormat="1" ht="12.75" customHeight="1">
      <c r="A57" s="313"/>
      <c r="B57" s="640" t="str">
        <f>IF('Język - Language'!$B$30="Polski","Podświetlenie / wyróżnienie","Backlighting / highlighting")</f>
        <v>Podświetlenie / wyróżnienie</v>
      </c>
      <c r="C57" s="642"/>
      <c r="D57" s="280" t="s">
        <v>103</v>
      </c>
      <c r="E57" s="319"/>
      <c r="F57" s="319"/>
      <c r="G57" s="319"/>
    </row>
    <row r="58" spans="1:7" s="129" customFormat="1" ht="12.75" customHeight="1">
      <c r="A58" s="313"/>
      <c r="B58" s="640" t="str">
        <f>IF('Język - Language'!$B$30="Polski","Mailing wysyłany na urządzenia mobilne","Mailing dispatched only to mobile devices")</f>
        <v>Mailing wysyłany na urządzenia mobilne</v>
      </c>
      <c r="C58" s="642"/>
      <c r="D58" s="280" t="s">
        <v>103</v>
      </c>
      <c r="E58" s="319"/>
      <c r="F58" s="319"/>
      <c r="G58" s="319"/>
    </row>
    <row r="59" spans="1:7" s="129" customFormat="1" ht="12.75" customHeight="1">
      <c r="A59" s="313"/>
      <c r="B59" s="640" t="str">
        <f>IF('Język - Language'!$B$30="Polski","Dopłata za dodatkowe 10kB","Additional 10kB of ad weight")</f>
        <v>Dopłata za dodatkowe 10kB</v>
      </c>
      <c r="C59" s="642"/>
      <c r="D59" s="280" t="s">
        <v>113</v>
      </c>
      <c r="E59" s="319"/>
      <c r="F59" s="319"/>
      <c r="G59" s="319"/>
    </row>
    <row r="60" spans="1:7" s="129" customFormat="1" ht="12.75" customHeight="1">
      <c r="A60" s="313"/>
      <c r="B60" s="640" t="str">
        <f>IF('Język - Language'!$B$30="Polski","Video Mailing do 1,5 MB","Video Mailing up to 1,5 MB")</f>
        <v>Video Mailing do 1,5 MB</v>
      </c>
      <c r="C60" s="642"/>
      <c r="D60" s="280" t="s">
        <v>104</v>
      </c>
      <c r="E60" s="319"/>
      <c r="F60" s="319"/>
      <c r="G60" s="319"/>
    </row>
    <row r="61" spans="1:7" s="129" customFormat="1" ht="12.75" customHeight="1">
      <c r="A61" s="313"/>
      <c r="B61" s="999" t="str">
        <f>IF('Język - Language'!$B$30="Polski","Optymalizacja big data w mailingach","Big data optimization in Mailing")</f>
        <v>Optymalizacja big data w mailingach</v>
      </c>
      <c r="C61" s="1000"/>
      <c r="D61" s="283" t="s">
        <v>104</v>
      </c>
      <c r="E61" s="319"/>
      <c r="F61" s="319"/>
      <c r="G61" s="319"/>
    </row>
    <row r="62" spans="1:7" s="129" customFormat="1" ht="12.75" customHeight="1">
      <c r="A62" s="319"/>
      <c r="B62" s="264"/>
      <c r="C62" s="264"/>
      <c r="D62" s="284"/>
      <c r="E62" s="319"/>
      <c r="F62" s="319"/>
      <c r="G62" s="319"/>
    </row>
    <row r="63" spans="1:7">
      <c r="A63" s="313"/>
      <c r="B63" s="1050" t="str">
        <f>IF('Język - Language'!$B$30="Polski","KRYTERIA TARGETOWANIA KAMPANII DISPLAY ORAZ MAILINGU","TARGETING CRITERIA FOR DISPLAY AND MAILING CAMPAIGNS")</f>
        <v>KRYTERIA TARGETOWANIA KAMPANII DISPLAY ORAZ MAILINGU</v>
      </c>
      <c r="C63" s="1050"/>
      <c r="D63" s="1051"/>
      <c r="E63" s="10"/>
      <c r="F63" s="10"/>
      <c r="G63" s="10"/>
    </row>
    <row r="64" spans="1:7" ht="21">
      <c r="A64" s="313"/>
      <c r="B64" s="421" t="str">
        <f>IF('Język - Language'!$B$30="Polski","TARGETOWANIE DEMOGRAFICZNE","DEMOGRAPHIC TARGETING")</f>
        <v>TARGETOWANIE DEMOGRAFICZNE</v>
      </c>
      <c r="C64" s="1036" t="str">
        <f>IF('Język - Language'!$B$30="Polski","PARAMETRY TARGETOWANIA","TARGETING PARAMETERS")</f>
        <v>PARAMETRY TARGETOWANIA</v>
      </c>
      <c r="D64" s="1037"/>
      <c r="E64" s="11"/>
      <c r="F64" s="11"/>
      <c r="G64" s="11"/>
    </row>
    <row r="65" spans="1:27">
      <c r="A65" s="319"/>
      <c r="B65" s="285" t="str">
        <f>IF('Język - Language'!$B$30="Polski","PŁEĆ","GENDER")</f>
        <v>PŁEĆ</v>
      </c>
      <c r="C65" s="1048" t="str">
        <f>IF('Język - Language'!$B$30="Polski","kobieta, mężczyzna","woman, man")</f>
        <v>kobieta, mężczyzna</v>
      </c>
      <c r="D65" s="1049"/>
      <c r="E65" s="70"/>
      <c r="F65" s="70"/>
      <c r="G65" s="70"/>
    </row>
    <row r="66" spans="1:27">
      <c r="A66" s="319"/>
      <c r="B66" s="286" t="str">
        <f>IF('Język - Language'!$B$30="Polski","WIEK","AGE")</f>
        <v>WIEK</v>
      </c>
      <c r="C66" s="1042" t="str">
        <f>IF('Język - Language'!$B$30="Polski","dowolny przedział wiekowy","number of years")</f>
        <v>dowolny przedział wiekowy</v>
      </c>
      <c r="D66" s="1043"/>
      <c r="E66" s="70"/>
      <c r="F66" s="70"/>
      <c r="G66" s="70"/>
    </row>
    <row r="67" spans="1:27">
      <c r="A67" s="319"/>
      <c r="B67" s="286" t="str">
        <f>IF('Język - Language'!$B$30="Polski","WYKSZTAŁCENIE","EDUCATION")</f>
        <v>WYKSZTAŁCENIE</v>
      </c>
      <c r="C67" s="1038" t="str">
        <f>IF('Język - Language'!$B$30="Polski","bez wykształcenia, podstawowe, zawodowe, średnie, wyższe","no education, basic, professional, high school, BA / MA")</f>
        <v>bez wykształcenia, podstawowe, zawodowe, średnie, wyższe</v>
      </c>
      <c r="D67" s="1039"/>
      <c r="E67" s="37"/>
      <c r="F67" s="37"/>
      <c r="G67" s="37"/>
    </row>
    <row r="68" spans="1:27" ht="36" customHeight="1">
      <c r="A68" s="319"/>
      <c r="B68" s="286" t="str">
        <f>IF('Język - Language'!$B$30="Polski","ZAWÓD","PROFESSION")</f>
        <v>ZAWÓD</v>
      </c>
      <c r="C68" s="1038"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8" s="1039"/>
      <c r="E68" s="37"/>
      <c r="F68" s="37"/>
      <c r="G68" s="37"/>
    </row>
    <row r="69" spans="1:27" ht="38.25" customHeight="1">
      <c r="A69" s="319"/>
      <c r="B69" s="286" t="str">
        <f>IF('Język - Language'!$B$30="Polski","ZAINTERESOWANIA","INTERESTS")</f>
        <v>ZAINTERESOWANIA</v>
      </c>
      <c r="C69" s="1038"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9" s="1039"/>
      <c r="E69" s="37"/>
      <c r="F69" s="37"/>
      <c r="G69" s="37"/>
    </row>
    <row r="70" spans="1:27" ht="57" customHeight="1">
      <c r="A70" s="319"/>
      <c r="B70" s="287" t="str">
        <f>IF('Język - Language'!$B$30="Polski","BRANŻA","OCCUPATIONAL AREA")</f>
        <v>BRANŻA</v>
      </c>
      <c r="C70" s="1005" t="str">
        <f>CONCATENATE($AA$70,$AA$71)</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70" s="1006"/>
      <c r="E70" s="37"/>
      <c r="F70" s="37"/>
      <c r="G70" s="37"/>
      <c r="H70" s="319"/>
      <c r="I70" s="319"/>
      <c r="J70" s="319"/>
      <c r="K70" s="319"/>
      <c r="L70" s="319"/>
      <c r="M70" s="319"/>
      <c r="N70" s="319"/>
      <c r="O70" s="319"/>
      <c r="P70" s="319"/>
      <c r="Q70" s="319"/>
      <c r="R70" s="319"/>
      <c r="S70" s="319"/>
      <c r="T70" s="319"/>
      <c r="U70" s="319"/>
      <c r="V70" s="319"/>
      <c r="W70" s="319"/>
      <c r="X70" s="319"/>
      <c r="Y70" s="319"/>
      <c r="Z70" s="319"/>
      <c r="AA70" s="319"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1" spans="1:27" ht="31.5">
      <c r="A71" s="319"/>
      <c r="B71" s="288" t="str">
        <f>IF('Język - Language'!$B$30="Polski","WIELKOŚĆ MIEJSCOWOŚCI* (tylko na serwisach WP)","POPULATION (applicable to WP sites)")</f>
        <v>WIELKOŚĆ MIEJSCOWOŚCI* (tylko na serwisach WP)</v>
      </c>
      <c r="C71" s="1046" t="str">
        <f>IF('Język - Language'!$B$30="Polski","wieś, do 50 tys., 50-100 tys., 100-500 tys., pow. 500 tys.","country, up to 50 k, 50-100 k, 100-500 k, more than 500 k")</f>
        <v>wieś, do 50 tys., 50-100 tys., 100-500 tys., pow. 500 tys.</v>
      </c>
      <c r="D71" s="1047"/>
      <c r="E71" s="37"/>
      <c r="F71" s="37"/>
      <c r="G71" s="37"/>
      <c r="H71" s="319"/>
      <c r="I71" s="319"/>
      <c r="J71" s="319"/>
      <c r="K71" s="319"/>
      <c r="L71" s="319"/>
      <c r="M71" s="319"/>
      <c r="N71" s="319"/>
      <c r="O71" s="319"/>
      <c r="P71" s="319"/>
      <c r="Q71" s="319"/>
      <c r="R71" s="319"/>
      <c r="S71" s="319"/>
      <c r="T71" s="319"/>
      <c r="U71" s="319"/>
      <c r="V71" s="319"/>
      <c r="W71" s="319"/>
      <c r="X71" s="319"/>
      <c r="Y71" s="319"/>
      <c r="Z71" s="319"/>
      <c r="AA71" s="319"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72" spans="1:27" ht="21">
      <c r="A72" s="313"/>
      <c r="B72" s="421" t="str">
        <f>IF('Język - Language'!$B$30="Polski","TARGETOWANIE GEOGRAFICZNE","GEOTARGETING")</f>
        <v>TARGETOWANIE GEOGRAFICZNE</v>
      </c>
      <c r="C72" s="1036" t="str">
        <f>IF('Język - Language'!$B$30="Polski","PARAMETRY TARGETOWANIA","TARGETING PARAMETERS")</f>
        <v>PARAMETRY TARGETOWANIA</v>
      </c>
      <c r="D72" s="1037"/>
      <c r="E72" s="10"/>
      <c r="F72" s="10"/>
      <c r="G72" s="10"/>
      <c r="H72" s="319"/>
      <c r="I72" s="319"/>
      <c r="J72" s="319"/>
      <c r="K72" s="319"/>
      <c r="L72" s="319"/>
      <c r="M72" s="319"/>
      <c r="N72" s="319"/>
      <c r="O72" s="319"/>
      <c r="P72" s="319"/>
      <c r="Q72" s="319"/>
      <c r="R72" s="319"/>
      <c r="S72" s="319"/>
      <c r="T72" s="319"/>
      <c r="U72" s="319"/>
      <c r="V72" s="319"/>
      <c r="W72" s="319"/>
      <c r="X72" s="319"/>
      <c r="Y72" s="319"/>
      <c r="Z72" s="319"/>
      <c r="AA72" s="319"/>
    </row>
    <row r="73" spans="1:27">
      <c r="A73" s="319"/>
      <c r="B73" s="285" t="str">
        <f>IF('Język - Language'!$B$30="Polski","WOJEWÓDZTWO","PROVINCE")</f>
        <v>WOJEWÓDZTWO</v>
      </c>
      <c r="C73" s="1044" t="str">
        <f>IF('Język - Language'!$B$30="Polski","wybrane województwo","selected province")</f>
        <v>wybrane województwo</v>
      </c>
      <c r="D73" s="1045"/>
      <c r="E73" s="71"/>
      <c r="F73" s="71"/>
      <c r="G73" s="71"/>
      <c r="H73" s="319"/>
      <c r="I73" s="319"/>
      <c r="J73" s="319"/>
      <c r="K73" s="319"/>
      <c r="L73" s="319"/>
      <c r="M73" s="319"/>
      <c r="N73" s="319"/>
      <c r="O73" s="319"/>
      <c r="P73" s="319"/>
      <c r="Q73" s="319"/>
      <c r="R73" s="319"/>
      <c r="S73" s="319"/>
      <c r="T73" s="319"/>
      <c r="U73" s="319"/>
      <c r="V73" s="319"/>
      <c r="W73" s="319"/>
      <c r="X73" s="319"/>
      <c r="Y73" s="319"/>
      <c r="Z73" s="319"/>
      <c r="AA73" s="319"/>
    </row>
    <row r="74" spans="1:27">
      <c r="A74" s="319"/>
      <c r="B74" s="286" t="str">
        <f>IF('Język - Language'!$B$30="Polski","MIASTO","CITY")</f>
        <v>MIASTO</v>
      </c>
      <c r="C74" s="1040" t="str">
        <f>IF('Język - Language'!$B$30="Polski","wybrane miasto","selected city")</f>
        <v>wybrane miasto</v>
      </c>
      <c r="D74" s="1041"/>
      <c r="E74" s="71"/>
      <c r="F74" s="71"/>
      <c r="G74" s="71"/>
      <c r="H74" s="319"/>
      <c r="I74" s="319"/>
      <c r="J74" s="319"/>
      <c r="K74" s="319"/>
      <c r="L74" s="319"/>
      <c r="M74" s="319"/>
      <c r="N74" s="319"/>
      <c r="O74" s="319"/>
      <c r="P74" s="319"/>
      <c r="Q74" s="319"/>
      <c r="R74" s="319"/>
      <c r="S74" s="319"/>
      <c r="T74" s="319"/>
      <c r="U74" s="319"/>
      <c r="V74" s="319"/>
      <c r="W74" s="319"/>
      <c r="X74" s="319"/>
      <c r="Y74" s="319"/>
      <c r="Z74" s="319"/>
      <c r="AA74" s="319"/>
    </row>
    <row r="75" spans="1:27">
      <c r="A75" s="319"/>
      <c r="B75" s="359"/>
      <c r="C75" s="359"/>
      <c r="D75" s="359"/>
      <c r="E75" s="319"/>
      <c r="F75" s="319"/>
      <c r="G75" s="319"/>
      <c r="H75" s="319"/>
      <c r="I75" s="319"/>
      <c r="J75" s="319"/>
      <c r="K75" s="319"/>
      <c r="L75" s="319"/>
      <c r="M75" s="319"/>
      <c r="N75" s="319"/>
      <c r="O75" s="319"/>
      <c r="P75" s="319"/>
      <c r="Q75" s="319"/>
      <c r="R75" s="319"/>
      <c r="S75" s="319"/>
      <c r="T75" s="319"/>
      <c r="U75" s="319"/>
      <c r="V75" s="319"/>
      <c r="W75" s="319"/>
      <c r="X75" s="319"/>
      <c r="Y75" s="319"/>
      <c r="Z75" s="319"/>
      <c r="AA75" s="319"/>
    </row>
    <row r="76" spans="1:27">
      <c r="A76" s="319"/>
      <c r="B76" s="1035"/>
      <c r="C76" s="1035"/>
      <c r="D76" s="1035"/>
      <c r="E76" s="319"/>
      <c r="F76" s="319"/>
      <c r="G76" s="319"/>
      <c r="H76" s="319"/>
      <c r="I76" s="319"/>
      <c r="J76" s="319"/>
      <c r="K76" s="319"/>
      <c r="L76" s="319"/>
      <c r="M76" s="319"/>
      <c r="N76" s="319"/>
      <c r="O76" s="319"/>
      <c r="P76" s="319"/>
      <c r="Q76" s="319"/>
      <c r="R76" s="319"/>
      <c r="S76" s="319"/>
      <c r="T76" s="319"/>
      <c r="U76" s="319"/>
      <c r="V76" s="319"/>
      <c r="W76" s="319"/>
      <c r="X76" s="319"/>
      <c r="Y76" s="319"/>
      <c r="Z76" s="319"/>
      <c r="AA76" s="319"/>
    </row>
    <row r="77" spans="1:27" ht="12.75" customHeight="1">
      <c r="A77" s="319"/>
      <c r="B77" s="1034"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77" s="1034"/>
      <c r="D77" s="1034"/>
      <c r="E77" s="319"/>
      <c r="F77" s="319"/>
      <c r="G77" s="319"/>
      <c r="H77" s="319"/>
      <c r="I77" s="319"/>
      <c r="J77" s="319"/>
      <c r="K77" s="319"/>
      <c r="L77" s="319"/>
      <c r="M77" s="319"/>
      <c r="N77" s="319"/>
      <c r="O77" s="319"/>
      <c r="P77" s="319"/>
      <c r="Q77" s="319"/>
      <c r="R77" s="319"/>
      <c r="S77" s="319"/>
      <c r="T77" s="319"/>
      <c r="U77" s="319"/>
      <c r="V77" s="319"/>
      <c r="W77" s="319"/>
      <c r="X77" s="319"/>
      <c r="Y77" s="319"/>
      <c r="Z77" s="319"/>
      <c r="AA77" s="319"/>
    </row>
    <row r="78" spans="1:27" ht="25.5" customHeight="1">
      <c r="A78" s="319"/>
      <c r="B78" s="1034"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78" s="1034"/>
      <c r="D78" s="1034"/>
      <c r="E78" s="319"/>
      <c r="F78" s="319"/>
      <c r="G78" s="319"/>
      <c r="H78" s="319"/>
      <c r="I78" s="319"/>
      <c r="J78" s="319"/>
      <c r="K78" s="319"/>
      <c r="L78" s="319"/>
      <c r="M78" s="319"/>
      <c r="N78" s="319"/>
      <c r="O78" s="319"/>
      <c r="P78" s="319"/>
      <c r="Q78" s="319"/>
      <c r="R78" s="319"/>
      <c r="S78" s="319"/>
      <c r="T78" s="319"/>
      <c r="U78" s="319"/>
      <c r="V78" s="319"/>
      <c r="W78" s="319"/>
      <c r="X78" s="319"/>
      <c r="Y78" s="319"/>
      <c r="Z78" s="319"/>
      <c r="AA78" s="319"/>
    </row>
    <row r="79" spans="1:27" ht="25.5" customHeight="1">
      <c r="A79" s="319"/>
      <c r="B79" s="1034"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79" s="1034"/>
      <c r="D79" s="1034"/>
      <c r="E79" s="319"/>
      <c r="F79" s="319"/>
      <c r="G79" s="319"/>
      <c r="H79" s="319"/>
      <c r="I79" s="319"/>
      <c r="J79" s="319"/>
      <c r="K79" s="319"/>
      <c r="L79" s="319"/>
      <c r="M79" s="319"/>
      <c r="N79" s="319"/>
      <c r="O79" s="319"/>
      <c r="P79" s="319"/>
      <c r="Q79" s="319"/>
      <c r="R79" s="319"/>
      <c r="S79" s="319"/>
      <c r="T79" s="319"/>
      <c r="U79" s="319"/>
      <c r="V79" s="319"/>
      <c r="W79" s="319"/>
      <c r="X79" s="319"/>
      <c r="Y79" s="319"/>
      <c r="Z79" s="319"/>
      <c r="AA79" s="319"/>
    </row>
    <row r="80" spans="1:27" ht="12.75" customHeight="1">
      <c r="A80" s="319"/>
      <c r="B80" s="1034"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0" s="1034"/>
      <c r="D80" s="1034"/>
      <c r="E80" s="319"/>
      <c r="F80" s="319"/>
      <c r="G80" s="319"/>
      <c r="H80" s="319"/>
      <c r="I80" s="319"/>
      <c r="J80" s="319"/>
      <c r="K80" s="319"/>
      <c r="L80" s="319"/>
      <c r="M80" s="319"/>
      <c r="N80" s="319"/>
      <c r="O80" s="319"/>
      <c r="P80" s="319"/>
      <c r="Q80" s="319"/>
      <c r="R80" s="319"/>
      <c r="S80" s="319"/>
      <c r="T80" s="319"/>
      <c r="U80" s="319"/>
      <c r="V80" s="319"/>
      <c r="W80" s="319"/>
      <c r="X80" s="319"/>
      <c r="Y80" s="319"/>
      <c r="Z80" s="319"/>
      <c r="AA80" s="319"/>
    </row>
    <row r="81" spans="1:27" ht="25.5" customHeight="1">
      <c r="A81" s="319"/>
      <c r="B81" s="1034"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1" s="1034"/>
      <c r="D81" s="1034"/>
      <c r="E81" s="319"/>
      <c r="F81" s="319"/>
      <c r="G81" s="319"/>
      <c r="H81" s="319"/>
      <c r="I81" s="319"/>
      <c r="J81" s="319"/>
      <c r="K81" s="319"/>
      <c r="L81" s="319"/>
      <c r="M81" s="319"/>
      <c r="N81" s="319"/>
      <c r="O81" s="319"/>
      <c r="P81" s="319"/>
      <c r="Q81" s="319"/>
      <c r="R81" s="319"/>
      <c r="S81" s="319"/>
      <c r="T81" s="319"/>
      <c r="U81" s="319"/>
      <c r="V81" s="319"/>
      <c r="W81" s="319"/>
      <c r="X81" s="319"/>
      <c r="Y81" s="319"/>
      <c r="Z81" s="319"/>
      <c r="AA81" s="319"/>
    </row>
  </sheetData>
  <mergeCells count="77">
    <mergeCell ref="B58:C58"/>
    <mergeCell ref="B50:C50"/>
    <mergeCell ref="B51:C51"/>
    <mergeCell ref="B79:D79"/>
    <mergeCell ref="B52:C52"/>
    <mergeCell ref="C74:D74"/>
    <mergeCell ref="C64:D64"/>
    <mergeCell ref="C66:D66"/>
    <mergeCell ref="C70:D70"/>
    <mergeCell ref="C73:D73"/>
    <mergeCell ref="B60:C60"/>
    <mergeCell ref="C71:D71"/>
    <mergeCell ref="C65:D65"/>
    <mergeCell ref="C67:D67"/>
    <mergeCell ref="B63:D63"/>
    <mergeCell ref="C69:D69"/>
    <mergeCell ref="B56:C56"/>
    <mergeCell ref="B57:C57"/>
    <mergeCell ref="B53:C53"/>
    <mergeCell ref="B54:C54"/>
    <mergeCell ref="B55:C55"/>
    <mergeCell ref="B15:C15"/>
    <mergeCell ref="B25:C25"/>
    <mergeCell ref="B21:C21"/>
    <mergeCell ref="B22:C22"/>
    <mergeCell ref="C1:D3"/>
    <mergeCell ref="B9:C9"/>
    <mergeCell ref="B7:C7"/>
    <mergeCell ref="B10:C10"/>
    <mergeCell ref="B11:C11"/>
    <mergeCell ref="B8:C8"/>
    <mergeCell ref="B23:C23"/>
    <mergeCell ref="I22:K22"/>
    <mergeCell ref="I19:K19"/>
    <mergeCell ref="B19:C19"/>
    <mergeCell ref="I18:K18"/>
    <mergeCell ref="I20:K20"/>
    <mergeCell ref="B18:C18"/>
    <mergeCell ref="B81:D81"/>
    <mergeCell ref="B76:D76"/>
    <mergeCell ref="B77:D77"/>
    <mergeCell ref="B78:D78"/>
    <mergeCell ref="B59:C59"/>
    <mergeCell ref="C72:D72"/>
    <mergeCell ref="C68:D68"/>
    <mergeCell ref="B61:C61"/>
    <mergeCell ref="B80:D80"/>
    <mergeCell ref="B49:C49"/>
    <mergeCell ref="B24:C24"/>
    <mergeCell ref="B44:C44"/>
    <mergeCell ref="B35:C35"/>
    <mergeCell ref="B42:C42"/>
    <mergeCell ref="B32:C32"/>
    <mergeCell ref="B47:C47"/>
    <mergeCell ref="B43:C43"/>
    <mergeCell ref="B46:C46"/>
    <mergeCell ref="B29:C29"/>
    <mergeCell ref="B26:C26"/>
    <mergeCell ref="B27:C27"/>
    <mergeCell ref="B34:C34"/>
    <mergeCell ref="B28:C28"/>
    <mergeCell ref="I11:K11"/>
    <mergeCell ref="I12:K12"/>
    <mergeCell ref="I21:K21"/>
    <mergeCell ref="B48:C48"/>
    <mergeCell ref="I14:K14"/>
    <mergeCell ref="B17:C17"/>
    <mergeCell ref="I13:K13"/>
    <mergeCell ref="B20:C20"/>
    <mergeCell ref="B45:C45"/>
    <mergeCell ref="B14:C14"/>
    <mergeCell ref="B33:C33"/>
    <mergeCell ref="B12:C12"/>
    <mergeCell ref="B30:C30"/>
    <mergeCell ref="B16:C16"/>
    <mergeCell ref="B13:C13"/>
    <mergeCell ref="I16:K16"/>
  </mergeCells>
  <pageMargins left="0.7" right="0.7" top="0.75" bottom="0.75" header="0.3" footer="0.3"/>
  <pageSetup paperSize="256" scale="80" fitToHeight="0" orientation="portrait" r:id="rId1"/>
  <ignoredErrors>
    <ignoredError sqref="D46:D49 D31 D36:D41 D51:D58 D60:D61 D23:D28 D33:D34 D8:D22" numberStoredAsText="1"/>
    <ignoredError sqref="D4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vt:lpstr>
      <vt:lpstr>Mobile</vt:lpstr>
      <vt:lpstr>Desktop Flat Fee</vt:lpstr>
      <vt:lpstr>Serwisy &amp; Pakiety</vt:lpstr>
      <vt:lpstr>Wideo &amp; Audio</vt:lpstr>
      <vt:lpstr>Poczta - Email service</vt:lpstr>
      <vt:lpstr>DataPower</vt:lpstr>
      <vt:lpstr>Dopłaty - Extra charges</vt:lpstr>
      <vt:lpstr>Docs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2019-07-12T14:30:18Z</dcterms:modified>
</cp:coreProperties>
</file>