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en_skoroszyt"/>
  <bookViews>
    <workbookView xWindow="390" yWindow="75" windowWidth="19425" windowHeight="11025" tabRatio="851" activeTab="1"/>
  </bookViews>
  <sheets>
    <sheet name="Język - Language" sheetId="15" r:id="rId1"/>
    <sheet name="Multiscreen" sheetId="8" r:id="rId2"/>
    <sheet name="Mobile" sheetId="16" r:id="rId3"/>
    <sheet name="Desktop Flat Fee" sheetId="10" r:id="rId4"/>
    <sheet name="Serwisy &amp; Pakiety" sheetId="12" r:id="rId5"/>
    <sheet name="Wideo &amp; Audio" sheetId="4" r:id="rId6"/>
    <sheet name="Poczta - Email service" sheetId="11" r:id="rId7"/>
    <sheet name="Content Marketing" sheetId="17" r:id="rId8"/>
    <sheet name="Dopłaty - Extra charges" sheetId="2" r:id="rId9"/>
    <sheet name="Docs" sheetId="13" r:id="rId10"/>
  </sheets>
  <calcPr calcId="152511"/>
</workbook>
</file>

<file path=xl/calcChain.xml><?xml version="1.0" encoding="utf-8"?>
<calcChain xmlns="http://schemas.openxmlformats.org/spreadsheetml/2006/main">
  <c r="B26" i="11" l="1"/>
  <c r="H8" i="10" l="1"/>
  <c r="G8" i="10"/>
  <c r="C48" i="17" l="1"/>
  <c r="C52" i="17"/>
  <c r="C51" i="17"/>
  <c r="C50" i="17"/>
  <c r="C46" i="17"/>
  <c r="C45" i="17"/>
  <c r="C43" i="17"/>
  <c r="C40" i="17"/>
  <c r="B33" i="17"/>
  <c r="G32" i="17"/>
  <c r="F32" i="17"/>
  <c r="E32" i="17"/>
  <c r="D32" i="17"/>
  <c r="F31" i="17"/>
  <c r="D31" i="17"/>
  <c r="C31" i="17"/>
  <c r="C27" i="17"/>
  <c r="F21" i="17"/>
  <c r="D21" i="17"/>
  <c r="G20" i="17"/>
  <c r="F20" i="17"/>
  <c r="E20" i="17"/>
  <c r="D20" i="17"/>
  <c r="F19" i="17"/>
  <c r="D19" i="17"/>
  <c r="C19" i="17"/>
  <c r="C18" i="17"/>
  <c r="D15" i="17"/>
  <c r="H11" i="17"/>
  <c r="B11" i="17"/>
  <c r="H10" i="17"/>
  <c r="F10" i="17"/>
  <c r="D10" i="17"/>
  <c r="H8" i="17"/>
  <c r="F8" i="17"/>
  <c r="D8" i="17"/>
  <c r="C4" i="17"/>
  <c r="G4" i="17"/>
  <c r="F1" i="17"/>
  <c r="B11" i="12" l="1"/>
  <c r="F7" i="12"/>
  <c r="D111" i="12" l="1"/>
  <c r="D97" i="12"/>
  <c r="R100" i="12"/>
  <c r="R89" i="12"/>
  <c r="P100" i="12"/>
  <c r="P89" i="12"/>
  <c r="N100" i="12"/>
  <c r="N89" i="12"/>
  <c r="J100" i="12"/>
  <c r="J89" i="12"/>
  <c r="H100" i="12"/>
  <c r="H89" i="12"/>
  <c r="F100" i="12"/>
  <c r="F89" i="12"/>
  <c r="R59" i="12"/>
  <c r="P59" i="12"/>
  <c r="N59" i="12"/>
  <c r="J59" i="12"/>
  <c r="H59" i="12"/>
  <c r="F59" i="12"/>
  <c r="D68" i="12"/>
  <c r="R108" i="12" l="1"/>
  <c r="P108" i="12"/>
  <c r="R110" i="12"/>
  <c r="R109" i="12"/>
  <c r="R107" i="12"/>
  <c r="R106" i="12"/>
  <c r="R105" i="12"/>
  <c r="R104" i="12"/>
  <c r="R103" i="12"/>
  <c r="R102" i="12"/>
  <c r="R101" i="12"/>
  <c r="R99" i="12"/>
  <c r="R98" i="12"/>
  <c r="P110" i="12"/>
  <c r="P109" i="12"/>
  <c r="P107" i="12"/>
  <c r="P106" i="12"/>
  <c r="P105" i="12"/>
  <c r="P104" i="12"/>
  <c r="P103" i="12"/>
  <c r="P102" i="12"/>
  <c r="P101" i="12"/>
  <c r="P99" i="12"/>
  <c r="P98" i="12"/>
  <c r="R96" i="12"/>
  <c r="R95" i="12"/>
  <c r="R94" i="12"/>
  <c r="R93" i="12"/>
  <c r="R92" i="12"/>
  <c r="R91" i="12"/>
  <c r="R90" i="12"/>
  <c r="R88" i="12"/>
  <c r="R87" i="12"/>
  <c r="R86" i="12"/>
  <c r="P96" i="12"/>
  <c r="P95" i="12"/>
  <c r="P94" i="12"/>
  <c r="P93" i="12"/>
  <c r="P92" i="12"/>
  <c r="P91" i="12"/>
  <c r="P90" i="12"/>
  <c r="P88" i="12"/>
  <c r="P87" i="12"/>
  <c r="P86" i="12"/>
  <c r="R80" i="12"/>
  <c r="R79" i="12"/>
  <c r="R78" i="12"/>
  <c r="R77" i="12"/>
  <c r="R76" i="12"/>
  <c r="P80" i="12"/>
  <c r="P79" i="12"/>
  <c r="P78" i="12"/>
  <c r="P77" i="12"/>
  <c r="P76" i="12"/>
  <c r="R74" i="12"/>
  <c r="R73" i="12"/>
  <c r="R72" i="12"/>
  <c r="R71" i="12"/>
  <c r="R70" i="12"/>
  <c r="R69" i="12"/>
  <c r="P74" i="12"/>
  <c r="P73" i="12"/>
  <c r="P72" i="12"/>
  <c r="P71" i="12"/>
  <c r="P70" i="12"/>
  <c r="P69" i="12"/>
  <c r="R67" i="12"/>
  <c r="R66" i="12"/>
  <c r="R65" i="12"/>
  <c r="R64" i="12"/>
  <c r="R63" i="12"/>
  <c r="R62" i="12"/>
  <c r="R61" i="12"/>
  <c r="R60" i="12"/>
  <c r="R58" i="12"/>
  <c r="P67" i="12"/>
  <c r="P65" i="12"/>
  <c r="P66" i="12"/>
  <c r="P64" i="12"/>
  <c r="P63" i="12"/>
  <c r="P62" i="12"/>
  <c r="P61" i="12"/>
  <c r="P60" i="12"/>
  <c r="P58" i="12"/>
  <c r="R56" i="12"/>
  <c r="R53" i="12"/>
  <c r="R52" i="12"/>
  <c r="R51" i="12"/>
  <c r="R55" i="12"/>
  <c r="R54" i="12"/>
  <c r="R50" i="12"/>
  <c r="R49" i="12"/>
  <c r="R48" i="12"/>
  <c r="R47" i="12"/>
  <c r="R46" i="12"/>
  <c r="R45" i="12"/>
  <c r="P56" i="12"/>
  <c r="P53" i="12"/>
  <c r="P52" i="12"/>
  <c r="P51" i="12"/>
  <c r="P55" i="12"/>
  <c r="P54" i="12"/>
  <c r="P50" i="12"/>
  <c r="P49" i="12"/>
  <c r="P48" i="12"/>
  <c r="P47" i="12"/>
  <c r="P46" i="12"/>
  <c r="P45" i="12"/>
  <c r="R43" i="12"/>
  <c r="R42" i="12"/>
  <c r="P43" i="12"/>
  <c r="P42" i="12"/>
  <c r="R40" i="12"/>
  <c r="R39" i="12"/>
  <c r="R38" i="12"/>
  <c r="R37" i="12"/>
  <c r="R36" i="12"/>
  <c r="P40" i="12"/>
  <c r="P39" i="12"/>
  <c r="P38" i="12"/>
  <c r="P37" i="12"/>
  <c r="R34" i="12"/>
  <c r="R33" i="12"/>
  <c r="P36" i="12"/>
  <c r="P34" i="12"/>
  <c r="P33" i="12"/>
  <c r="D57" i="12" l="1"/>
  <c r="N46" i="12"/>
  <c r="J46" i="12"/>
  <c r="H46" i="12"/>
  <c r="F46" i="12"/>
  <c r="D81" i="12" l="1"/>
  <c r="D18" i="4" s="1"/>
  <c r="C11" i="16" l="1"/>
  <c r="N110" i="12" l="1"/>
  <c r="N109" i="12"/>
  <c r="N107" i="12"/>
  <c r="N106" i="12"/>
  <c r="N105" i="12"/>
  <c r="N104" i="12"/>
  <c r="N103" i="12"/>
  <c r="N102" i="12"/>
  <c r="N101" i="12"/>
  <c r="N99" i="12"/>
  <c r="N98" i="12"/>
  <c r="J110" i="12"/>
  <c r="J109" i="12"/>
  <c r="J108" i="12"/>
  <c r="J107" i="12"/>
  <c r="J106" i="12"/>
  <c r="J105" i="12"/>
  <c r="J104" i="12"/>
  <c r="J103" i="12"/>
  <c r="J102" i="12"/>
  <c r="J101" i="12"/>
  <c r="J99" i="12"/>
  <c r="J98" i="12"/>
  <c r="H110" i="12"/>
  <c r="H109" i="12"/>
  <c r="H108" i="12"/>
  <c r="H107" i="12"/>
  <c r="H106" i="12"/>
  <c r="H105" i="12"/>
  <c r="H104" i="12"/>
  <c r="H103" i="12"/>
  <c r="H102" i="12"/>
  <c r="H101" i="12"/>
  <c r="H99" i="12"/>
  <c r="H98" i="12"/>
  <c r="F110" i="12"/>
  <c r="F109" i="12"/>
  <c r="F108" i="12"/>
  <c r="F107" i="12"/>
  <c r="F106" i="12"/>
  <c r="F105" i="12"/>
  <c r="F104" i="12"/>
  <c r="F103" i="12"/>
  <c r="F102" i="12"/>
  <c r="F101" i="12"/>
  <c r="F99" i="12"/>
  <c r="F98" i="12"/>
  <c r="N96" i="12"/>
  <c r="N95" i="12"/>
  <c r="N94" i="12"/>
  <c r="N93" i="12"/>
  <c r="N92" i="12"/>
  <c r="N91" i="12"/>
  <c r="N90" i="12"/>
  <c r="N88" i="12"/>
  <c r="N87" i="12"/>
  <c r="N86" i="12"/>
  <c r="J96" i="12"/>
  <c r="J95" i="12"/>
  <c r="J94" i="12"/>
  <c r="J93" i="12"/>
  <c r="J92" i="12"/>
  <c r="J91" i="12"/>
  <c r="J90" i="12"/>
  <c r="J88" i="12"/>
  <c r="J87" i="12"/>
  <c r="J86" i="12"/>
  <c r="H96" i="12" l="1"/>
  <c r="H95" i="12"/>
  <c r="H94" i="12"/>
  <c r="H93" i="12"/>
  <c r="H92" i="12"/>
  <c r="H91" i="12"/>
  <c r="H90" i="12"/>
  <c r="H88" i="12"/>
  <c r="H87" i="12"/>
  <c r="H86" i="12"/>
  <c r="F96" i="12"/>
  <c r="F95" i="12"/>
  <c r="F94" i="12"/>
  <c r="F93" i="12"/>
  <c r="F92" i="12"/>
  <c r="F91" i="12"/>
  <c r="F90" i="12"/>
  <c r="F88" i="12"/>
  <c r="F87" i="12"/>
  <c r="F86" i="12"/>
  <c r="J84" i="12"/>
  <c r="J83" i="12"/>
  <c r="J82" i="12"/>
  <c r="H84" i="12"/>
  <c r="H83" i="12"/>
  <c r="H82" i="12"/>
  <c r="F84" i="12"/>
  <c r="F83" i="12"/>
  <c r="F82" i="12"/>
  <c r="N80" i="12"/>
  <c r="N79" i="12"/>
  <c r="N78" i="12"/>
  <c r="N77" i="12"/>
  <c r="N76" i="12"/>
  <c r="J80" i="12"/>
  <c r="J79" i="12"/>
  <c r="J78" i="12"/>
  <c r="J77" i="12"/>
  <c r="J76" i="12"/>
  <c r="H80" i="12"/>
  <c r="H79" i="12"/>
  <c r="H78" i="12"/>
  <c r="H77" i="12"/>
  <c r="H76" i="12"/>
  <c r="F80" i="12"/>
  <c r="F79" i="12"/>
  <c r="F78" i="12"/>
  <c r="F77" i="12"/>
  <c r="F76" i="12"/>
  <c r="N74" i="12" l="1"/>
  <c r="N73" i="12"/>
  <c r="N72" i="12"/>
  <c r="N71" i="12"/>
  <c r="N70" i="12"/>
  <c r="N69" i="12"/>
  <c r="J74" i="12"/>
  <c r="J73" i="12"/>
  <c r="J72" i="12"/>
  <c r="J71" i="12"/>
  <c r="J70" i="12"/>
  <c r="J69" i="12"/>
  <c r="H74" i="12"/>
  <c r="H73" i="12"/>
  <c r="H72" i="12"/>
  <c r="H71" i="12"/>
  <c r="H70" i="12"/>
  <c r="H69" i="12"/>
  <c r="F74" i="12"/>
  <c r="F73" i="12"/>
  <c r="F72" i="12"/>
  <c r="F71" i="12"/>
  <c r="F70" i="12"/>
  <c r="F69" i="12"/>
  <c r="N65" i="12"/>
  <c r="N66" i="12"/>
  <c r="N64" i="12"/>
  <c r="N63" i="12"/>
  <c r="N62" i="12"/>
  <c r="N61" i="12"/>
  <c r="N60" i="12"/>
  <c r="N58" i="12"/>
  <c r="J65" i="12"/>
  <c r="J67" i="12"/>
  <c r="J66" i="12"/>
  <c r="J64" i="12"/>
  <c r="J63" i="12"/>
  <c r="J62" i="12"/>
  <c r="J61" i="12"/>
  <c r="J60" i="12"/>
  <c r="J58" i="12"/>
  <c r="H65" i="12"/>
  <c r="H67" i="12"/>
  <c r="H66" i="12"/>
  <c r="H64" i="12"/>
  <c r="H63" i="12"/>
  <c r="H62" i="12"/>
  <c r="H61" i="12"/>
  <c r="H60" i="12"/>
  <c r="H58" i="12"/>
  <c r="F67" i="12"/>
  <c r="F66" i="12"/>
  <c r="F65" i="12"/>
  <c r="F64" i="12"/>
  <c r="F63" i="12"/>
  <c r="F62" i="12"/>
  <c r="F61" i="12"/>
  <c r="F60" i="12"/>
  <c r="F58" i="12"/>
  <c r="N53" i="12"/>
  <c r="N55" i="12"/>
  <c r="N54" i="12"/>
  <c r="N50" i="12"/>
  <c r="N49" i="12"/>
  <c r="N48" i="12"/>
  <c r="N47" i="12"/>
  <c r="N45" i="12"/>
  <c r="J56" i="12"/>
  <c r="J53" i="12"/>
  <c r="J52" i="12"/>
  <c r="J51" i="12"/>
  <c r="J55" i="12"/>
  <c r="J54" i="12"/>
  <c r="J50" i="12"/>
  <c r="J49" i="12"/>
  <c r="J48" i="12"/>
  <c r="J47" i="12"/>
  <c r="J45" i="12"/>
  <c r="H56" i="12" l="1"/>
  <c r="H55" i="12"/>
  <c r="H54" i="12"/>
  <c r="H53" i="12"/>
  <c r="H52" i="12"/>
  <c r="H51" i="12"/>
  <c r="H50" i="12"/>
  <c r="H49" i="12"/>
  <c r="H48" i="12"/>
  <c r="H47" i="12"/>
  <c r="H45" i="12"/>
  <c r="F56" i="12" l="1"/>
  <c r="F55" i="12"/>
  <c r="F54" i="12"/>
  <c r="F53" i="12"/>
  <c r="F52" i="12"/>
  <c r="F51" i="12"/>
  <c r="F50" i="12"/>
  <c r="F49" i="12"/>
  <c r="F48" i="12"/>
  <c r="F47" i="12"/>
  <c r="F45" i="12"/>
  <c r="N43" i="12"/>
  <c r="N42" i="12"/>
  <c r="J43" i="12"/>
  <c r="J42" i="12"/>
  <c r="H43" i="12"/>
  <c r="H42" i="12"/>
  <c r="F43" i="12"/>
  <c r="F42" i="12"/>
  <c r="N40" i="12" l="1"/>
  <c r="N39" i="12"/>
  <c r="N38" i="12"/>
  <c r="N37" i="12"/>
  <c r="N36" i="12"/>
  <c r="J40" i="12"/>
  <c r="J39" i="12"/>
  <c r="J38" i="12"/>
  <c r="J37" i="12"/>
  <c r="J36" i="12"/>
  <c r="H40" i="12"/>
  <c r="H39" i="12"/>
  <c r="H38" i="12"/>
  <c r="H37" i="12"/>
  <c r="H36" i="12"/>
  <c r="F40" i="12"/>
  <c r="F39" i="12"/>
  <c r="F38" i="12"/>
  <c r="F37" i="12"/>
  <c r="F36" i="12"/>
  <c r="N34" i="12"/>
  <c r="J34" i="12"/>
  <c r="H34" i="12"/>
  <c r="F34" i="12"/>
  <c r="N33" i="12"/>
  <c r="J33" i="12"/>
  <c r="F33" i="12" l="1"/>
  <c r="H33" i="12"/>
  <c r="D20" i="4" l="1"/>
  <c r="D16" i="4" l="1"/>
  <c r="D21" i="4" l="1"/>
  <c r="D85" i="12"/>
  <c r="D19" i="4" s="1"/>
  <c r="D75" i="12"/>
  <c r="D17" i="4" s="1"/>
  <c r="D15" i="4"/>
  <c r="D44" i="12"/>
  <c r="D14" i="4" s="1"/>
  <c r="D41" i="12"/>
  <c r="D35" i="12"/>
  <c r="D13" i="4" l="1"/>
  <c r="D12" i="4"/>
  <c r="C8" i="15" l="1"/>
  <c r="B30" i="15" l="1"/>
  <c r="F68" i="8" l="1"/>
  <c r="B66" i="8"/>
  <c r="B68" i="8"/>
  <c r="B67" i="8"/>
  <c r="F67" i="8"/>
  <c r="B65" i="8"/>
  <c r="F66" i="8"/>
  <c r="D16" i="16"/>
  <c r="D12" i="16"/>
  <c r="D15" i="16"/>
  <c r="J8" i="8"/>
  <c r="D11" i="16"/>
  <c r="I8" i="8"/>
  <c r="B80" i="2"/>
  <c r="B79" i="2"/>
  <c r="B78" i="2"/>
  <c r="AA88" i="2"/>
  <c r="B85" i="2"/>
  <c r="B81" i="2"/>
  <c r="AA86" i="2"/>
  <c r="B94" i="2"/>
  <c r="D77" i="2"/>
  <c r="B84" i="2"/>
  <c r="C77" i="2"/>
  <c r="AA85" i="2"/>
  <c r="B95" i="2"/>
  <c r="B89" i="2"/>
  <c r="B87" i="2"/>
  <c r="B83" i="2"/>
  <c r="B77" i="2"/>
  <c r="B92" i="2"/>
  <c r="B96" i="2"/>
  <c r="B88" i="2"/>
  <c r="B86" i="2"/>
  <c r="B82" i="2"/>
  <c r="B76" i="2"/>
  <c r="B93" i="2"/>
  <c r="E9" i="10"/>
  <c r="C32" i="4"/>
  <c r="E24" i="4"/>
  <c r="C31" i="4"/>
  <c r="C30" i="4"/>
  <c r="C1" i="2"/>
  <c r="E1" i="11"/>
  <c r="G1" i="8"/>
  <c r="M1" i="12"/>
  <c r="E1" i="15"/>
  <c r="E1" i="10"/>
  <c r="F1" i="4"/>
  <c r="M1" i="16"/>
  <c r="C25" i="10"/>
  <c r="F26" i="4"/>
  <c r="E25" i="4"/>
  <c r="B10" i="4"/>
  <c r="D27" i="4"/>
  <c r="D24" i="4"/>
  <c r="C24" i="4"/>
  <c r="I24" i="4"/>
  <c r="B25" i="2"/>
  <c r="C34" i="8"/>
  <c r="D22" i="4"/>
  <c r="F58" i="8"/>
  <c r="B62" i="8"/>
  <c r="I56" i="8"/>
  <c r="F57" i="8"/>
  <c r="F62" i="8"/>
  <c r="F65" i="8"/>
  <c r="J56" i="8"/>
  <c r="I62" i="8"/>
  <c r="J62" i="8"/>
  <c r="B26" i="2"/>
  <c r="C116" i="12"/>
  <c r="B111" i="8"/>
  <c r="B68" i="16"/>
  <c r="B64" i="16"/>
  <c r="F95" i="8"/>
  <c r="F75" i="8"/>
  <c r="F93" i="8"/>
  <c r="F74" i="8"/>
  <c r="F86" i="8"/>
  <c r="F73" i="8"/>
  <c r="G100" i="8"/>
  <c r="F41" i="8"/>
  <c r="F39" i="8"/>
  <c r="F23" i="8"/>
  <c r="F14" i="8"/>
  <c r="F19" i="8"/>
  <c r="F15" i="8"/>
  <c r="F40" i="8"/>
  <c r="F21" i="8"/>
  <c r="F22" i="8"/>
  <c r="F47" i="8"/>
  <c r="F46" i="8"/>
  <c r="F18" i="8"/>
  <c r="F13" i="8"/>
  <c r="H4" i="15"/>
  <c r="R4" i="16"/>
  <c r="C7" i="16"/>
  <c r="C19" i="11"/>
  <c r="C38" i="16"/>
  <c r="H4" i="11"/>
  <c r="F24" i="12"/>
  <c r="F58" i="10"/>
  <c r="E58" i="10"/>
  <c r="G7" i="10"/>
  <c r="B19" i="2"/>
  <c r="C10" i="8"/>
  <c r="C9" i="8"/>
  <c r="C21" i="4"/>
  <c r="C20" i="4"/>
  <c r="C28" i="16"/>
  <c r="C27" i="8"/>
  <c r="D14" i="10"/>
  <c r="B25" i="8"/>
  <c r="D13" i="10"/>
  <c r="D11" i="10"/>
  <c r="F27" i="8"/>
  <c r="D12" i="10"/>
  <c r="C98" i="12"/>
  <c r="C86" i="12"/>
  <c r="D10" i="4"/>
  <c r="C58" i="12"/>
  <c r="F26" i="12"/>
  <c r="AA69" i="2"/>
  <c r="D49" i="2"/>
  <c r="C121" i="12"/>
  <c r="D121" i="12"/>
  <c r="B31" i="12"/>
  <c r="C120" i="12"/>
  <c r="C23" i="12"/>
  <c r="D16" i="12"/>
  <c r="D19" i="12"/>
  <c r="D14" i="12"/>
  <c r="D18" i="12"/>
  <c r="D13" i="12"/>
  <c r="D15" i="12"/>
  <c r="D17" i="12"/>
  <c r="D12" i="12"/>
  <c r="C12" i="4"/>
  <c r="D28" i="2"/>
  <c r="D29" i="2"/>
  <c r="C16" i="4"/>
  <c r="B50" i="8"/>
  <c r="B66" i="2"/>
  <c r="B55" i="2"/>
  <c r="E26" i="10"/>
  <c r="D42" i="2"/>
  <c r="E19" i="10"/>
  <c r="C14" i="11"/>
  <c r="F7" i="8"/>
  <c r="B102" i="8"/>
  <c r="J37" i="8"/>
  <c r="J85" i="8"/>
  <c r="F10" i="12"/>
  <c r="B78" i="8"/>
  <c r="I95" i="8"/>
  <c r="E7" i="12"/>
  <c r="F105" i="8"/>
  <c r="F77" i="8"/>
  <c r="I93" i="8"/>
  <c r="I92" i="8"/>
  <c r="C11" i="8"/>
  <c r="B21" i="8"/>
  <c r="D11" i="12"/>
  <c r="D112" i="12"/>
  <c r="C8" i="16"/>
  <c r="F82" i="8"/>
  <c r="F76" i="8"/>
  <c r="I96" i="8"/>
  <c r="J92" i="8"/>
  <c r="I85" i="8"/>
  <c r="B13" i="8"/>
  <c r="H10" i="12"/>
  <c r="B82" i="8"/>
  <c r="I94" i="8"/>
  <c r="I82" i="8"/>
  <c r="C117" i="12"/>
  <c r="F108" i="8"/>
  <c r="J82" i="8"/>
  <c r="F11" i="8"/>
  <c r="C113" i="12"/>
  <c r="F9" i="12"/>
  <c r="D122" i="12"/>
  <c r="C136" i="12"/>
  <c r="F28" i="12"/>
  <c r="H47" i="10"/>
  <c r="C66" i="2"/>
  <c r="C24" i="11"/>
  <c r="I101" i="8"/>
  <c r="B21" i="2"/>
  <c r="H26" i="12"/>
  <c r="B29" i="2"/>
  <c r="B28" i="2"/>
  <c r="B7" i="11"/>
  <c r="I64" i="8"/>
  <c r="C14" i="8"/>
  <c r="B49" i="8"/>
  <c r="C115" i="12"/>
  <c r="C114" i="12"/>
  <c r="C19" i="8"/>
  <c r="C17" i="8"/>
  <c r="C16" i="8"/>
  <c r="H7" i="12"/>
  <c r="C18" i="8"/>
  <c r="L26" i="12"/>
  <c r="D31" i="2"/>
  <c r="C13" i="4"/>
  <c r="B32" i="11"/>
  <c r="F57" i="10"/>
  <c r="C24" i="8"/>
  <c r="G101" i="8"/>
  <c r="H24" i="12"/>
  <c r="B64" i="2"/>
  <c r="B24" i="2"/>
  <c r="C18" i="11"/>
  <c r="B63" i="2"/>
  <c r="B23" i="2"/>
  <c r="H4" i="10"/>
  <c r="C10" i="11"/>
  <c r="J26" i="12"/>
  <c r="B51" i="2"/>
  <c r="B22" i="2"/>
  <c r="B4" i="2"/>
  <c r="C9" i="11"/>
  <c r="C46" i="10"/>
  <c r="C13" i="8"/>
  <c r="B40" i="8"/>
  <c r="F103" i="8"/>
  <c r="C37" i="2"/>
  <c r="B104" i="8"/>
  <c r="B60" i="2"/>
  <c r="D32" i="12"/>
  <c r="B47" i="8"/>
  <c r="C7" i="4"/>
  <c r="J4" i="4"/>
  <c r="F8" i="11"/>
  <c r="B48" i="2"/>
  <c r="B16" i="11"/>
  <c r="B50" i="2"/>
  <c r="S4" i="12"/>
  <c r="C7" i="10"/>
  <c r="E61" i="10"/>
  <c r="B106" i="8"/>
  <c r="D7" i="12"/>
  <c r="B53" i="2"/>
  <c r="B13" i="2"/>
  <c r="F16" i="8"/>
  <c r="H8" i="11"/>
  <c r="C7" i="12"/>
  <c r="B52" i="2"/>
  <c r="B12" i="2"/>
  <c r="D24" i="12"/>
  <c r="AA70" i="2"/>
  <c r="B44" i="2"/>
  <c r="B14" i="2"/>
  <c r="B25" i="11"/>
  <c r="B44" i="8"/>
  <c r="I73" i="8"/>
  <c r="B56" i="2"/>
  <c r="H25" i="12"/>
  <c r="C18" i="10"/>
  <c r="B39" i="8"/>
  <c r="B109" i="8"/>
  <c r="C71" i="2"/>
  <c r="I84" i="8"/>
  <c r="C22" i="8"/>
  <c r="B45" i="2"/>
  <c r="E63" i="10"/>
  <c r="E8" i="11"/>
  <c r="B62" i="2"/>
  <c r="C24" i="12"/>
  <c r="D9" i="10"/>
  <c r="C32" i="8"/>
  <c r="J72" i="8"/>
  <c r="B49" i="2"/>
  <c r="B8" i="2"/>
  <c r="F9" i="8"/>
  <c r="H57" i="10"/>
  <c r="D7" i="10"/>
  <c r="B4" i="11"/>
  <c r="C45" i="12"/>
  <c r="B47" i="2"/>
  <c r="D7" i="2"/>
  <c r="B33" i="11"/>
  <c r="C11" i="4"/>
  <c r="C67" i="2"/>
  <c r="B42" i="2"/>
  <c r="B10" i="2"/>
  <c r="C36" i="2"/>
  <c r="C15" i="4"/>
  <c r="C36" i="11"/>
  <c r="B46" i="8"/>
  <c r="F83" i="8"/>
  <c r="B65" i="2"/>
  <c r="C7" i="11"/>
  <c r="C28" i="10"/>
  <c r="F42" i="8"/>
  <c r="I83" i="8"/>
  <c r="B9" i="2"/>
  <c r="D18" i="10"/>
  <c r="C13" i="11"/>
  <c r="B57" i="2"/>
  <c r="C72" i="2"/>
  <c r="C69" i="12"/>
  <c r="B69" i="8"/>
  <c r="B68" i="2"/>
  <c r="H27" i="12"/>
  <c r="D15" i="10"/>
  <c r="F64" i="10"/>
  <c r="I37" i="8"/>
  <c r="B83" i="8"/>
  <c r="B110" i="8"/>
  <c r="C73" i="2"/>
  <c r="D43" i="2"/>
  <c r="C24" i="10"/>
  <c r="I7" i="8"/>
  <c r="C57" i="10"/>
  <c r="B38" i="11"/>
  <c r="D31" i="12"/>
  <c r="C19" i="4"/>
  <c r="B73" i="2"/>
  <c r="B43" i="2"/>
  <c r="D8" i="13"/>
  <c r="C65" i="2"/>
  <c r="C38" i="2"/>
  <c r="B7" i="2"/>
  <c r="D44" i="2"/>
  <c r="B37" i="11"/>
  <c r="B48" i="8"/>
  <c r="B70" i="2"/>
  <c r="C42" i="12"/>
  <c r="C11" i="11"/>
  <c r="E46" i="10"/>
  <c r="I86" i="8"/>
  <c r="B20" i="2"/>
  <c r="D7" i="4"/>
  <c r="B103" i="8"/>
  <c r="C112" i="12"/>
  <c r="B15" i="2"/>
  <c r="B42" i="8"/>
  <c r="B37" i="8"/>
  <c r="B67" i="2"/>
  <c r="B72" i="2"/>
  <c r="B9" i="11"/>
  <c r="E18" i="10"/>
  <c r="C7" i="8"/>
  <c r="I39" i="8"/>
  <c r="B86" i="8"/>
  <c r="C17" i="4"/>
  <c r="B71" i="2"/>
  <c r="C40" i="2"/>
  <c r="C31" i="8"/>
  <c r="C4" i="8"/>
  <c r="F47" i="10"/>
  <c r="E36" i="11"/>
  <c r="C70" i="2"/>
  <c r="C39" i="2"/>
  <c r="D10" i="10"/>
  <c r="C4" i="12"/>
  <c r="C63" i="2"/>
  <c r="B34" i="2"/>
  <c r="D10" i="13"/>
  <c r="B54" i="2"/>
  <c r="E7" i="10"/>
  <c r="B51" i="8"/>
  <c r="F99" i="8"/>
  <c r="D4" i="2"/>
  <c r="C76" i="12"/>
  <c r="C20" i="11"/>
  <c r="D57" i="10"/>
  <c r="B52" i="8"/>
  <c r="G99" i="8"/>
  <c r="B31" i="2"/>
  <c r="J4" i="8"/>
  <c r="C15" i="8"/>
  <c r="C21" i="8"/>
  <c r="B58" i="2"/>
  <c r="C12" i="11"/>
  <c r="B17" i="2"/>
  <c r="L24" i="12"/>
  <c r="B18" i="2"/>
  <c r="E48" i="10"/>
  <c r="F106" i="8"/>
  <c r="B107" i="8"/>
  <c r="C4" i="16"/>
  <c r="B11" i="2"/>
  <c r="C36" i="12"/>
  <c r="C15" i="11"/>
  <c r="G31" i="10"/>
  <c r="D99" i="8"/>
  <c r="B69" i="2"/>
  <c r="C35" i="2"/>
  <c r="C29" i="8"/>
  <c r="E64" i="10"/>
  <c r="E31" i="10"/>
  <c r="B31" i="11"/>
  <c r="C14" i="4"/>
  <c r="C68" i="2"/>
  <c r="B32" i="2"/>
  <c r="C4" i="4"/>
  <c r="B59" i="2"/>
  <c r="B30" i="2"/>
  <c r="C15" i="10"/>
  <c r="C64" i="2"/>
  <c r="J24" i="12"/>
  <c r="E15" i="10"/>
  <c r="C65" i="10"/>
  <c r="C33" i="8"/>
  <c r="I100" i="8"/>
  <c r="B16" i="2"/>
  <c r="C30" i="8"/>
  <c r="B101" i="8"/>
  <c r="B41" i="2"/>
  <c r="C18" i="4"/>
  <c r="C20" i="8"/>
  <c r="F63" i="10"/>
  <c r="F12" i="8"/>
  <c r="C99" i="8"/>
  <c r="B79" i="8"/>
  <c r="I99" i="8"/>
  <c r="F102" i="8"/>
  <c r="F104" i="8"/>
  <c r="F109" i="8"/>
  <c r="E57" i="10"/>
  <c r="C21" i="11"/>
  <c r="C31" i="12"/>
  <c r="F44" i="8"/>
  <c r="F29" i="8"/>
  <c r="F48" i="8"/>
  <c r="F28" i="8"/>
  <c r="F43" i="8"/>
  <c r="F31" i="8"/>
  <c r="F45" i="8"/>
  <c r="F30" i="8"/>
  <c r="F37" i="8"/>
  <c r="I72" i="8"/>
  <c r="C33" i="12"/>
  <c r="C31" i="10"/>
  <c r="B41" i="8"/>
  <c r="B45" i="8"/>
  <c r="G47" i="10"/>
  <c r="F101" i="8"/>
  <c r="C4" i="10"/>
  <c r="C23" i="8"/>
  <c r="C28" i="8"/>
  <c r="B30" i="11"/>
  <c r="B43" i="8"/>
  <c r="F107" i="8"/>
  <c r="E62" i="10"/>
  <c r="C82" i="12"/>
  <c r="C45" i="16" l="1"/>
  <c r="F40" i="16"/>
  <c r="C69" i="2"/>
</calcChain>
</file>

<file path=xl/comments1.xml><?xml version="1.0" encoding="utf-8"?>
<comments xmlns="http://schemas.openxmlformats.org/spreadsheetml/2006/main">
  <authors>
    <author>Autor</author>
  </authors>
  <commentList>
    <comment ref="C20" authorId="0" shapeId="0">
      <text>
        <r>
          <rPr>
            <b/>
            <sz val="9"/>
            <color indexed="81"/>
            <rFont val="Tahoma"/>
            <family val="2"/>
            <charset val="238"/>
          </rPr>
          <t>Autor:</t>
        </r>
        <r>
          <rPr>
            <sz val="9"/>
            <color indexed="81"/>
            <rFont val="Tahoma"/>
            <family val="2"/>
            <charset val="238"/>
          </rPr>
          <t xml:space="preserve">
WP Kobieta, WP Facet, WP Film, WP Gwiazdy, WP Opinie, WP Teleshow, WP Wiadomości, WP Moto, WP Tech, WP Turystyka, WP Kuchnia, WP Dom, WP Gry, WP Finanse, WP Książki, Wawalove</t>
        </r>
      </text>
    </comment>
    <comment ref="C62" authorId="0" shapeId="0">
      <text>
        <r>
          <rPr>
            <b/>
            <sz val="9"/>
            <color indexed="81"/>
            <rFont val="Tahoma"/>
            <family val="2"/>
            <charset val="238"/>
          </rPr>
          <t>Autor:</t>
        </r>
        <r>
          <rPr>
            <sz val="9"/>
            <color indexed="81"/>
            <rFont val="Tahoma"/>
            <family val="2"/>
            <charset val="238"/>
          </rPr>
          <t xml:space="preserve">
Możliwość wysłania maksymalnie 230 000 pushy/dzień</t>
        </r>
      </text>
    </comment>
  </commentList>
</comments>
</file>

<file path=xl/comments2.xml><?xml version="1.0" encoding="utf-8"?>
<comments xmlns="http://schemas.openxmlformats.org/spreadsheetml/2006/main">
  <authors>
    <author>Autor</author>
  </authors>
  <commentList>
    <comment ref="C33" authorId="0" shapeId="0">
      <text>
        <r>
          <rPr>
            <b/>
            <sz val="9"/>
            <color indexed="81"/>
            <rFont val="Tahoma"/>
            <family val="2"/>
            <charset val="238"/>
          </rPr>
          <t>Autor:</t>
        </r>
        <r>
          <rPr>
            <sz val="9"/>
            <color indexed="81"/>
            <rFont val="Tahoma"/>
            <family val="2"/>
            <charset val="238"/>
          </rPr>
          <t xml:space="preserve">
Kliknij "+" z lewej strony aby rozwinąć pakiet</t>
        </r>
      </text>
    </comment>
    <comment ref="C36" authorId="0" shapeId="0">
      <text>
        <r>
          <rPr>
            <b/>
            <sz val="9"/>
            <color indexed="81"/>
            <rFont val="Tahoma"/>
            <family val="2"/>
            <charset val="238"/>
          </rPr>
          <t>Autor:</t>
        </r>
        <r>
          <rPr>
            <sz val="9"/>
            <color indexed="81"/>
            <rFont val="Tahoma"/>
            <family val="2"/>
            <charset val="238"/>
          </rPr>
          <t xml:space="preserve">
Kliknij "+" z lewej strony aby rozwinąć pakiet</t>
        </r>
      </text>
    </comment>
    <comment ref="C42" authorId="0" shapeId="0">
      <text>
        <r>
          <rPr>
            <b/>
            <sz val="9"/>
            <color indexed="81"/>
            <rFont val="Tahoma"/>
            <family val="2"/>
            <charset val="238"/>
          </rPr>
          <t>Autor:</t>
        </r>
        <r>
          <rPr>
            <sz val="9"/>
            <color indexed="81"/>
            <rFont val="Tahoma"/>
            <family val="2"/>
            <charset val="238"/>
          </rPr>
          <t xml:space="preserve">
Kliknij "+" z lewej strony aby rozwinąć pakiet</t>
        </r>
      </text>
    </comment>
    <comment ref="C45" authorId="0" shapeId="0">
      <text>
        <r>
          <rPr>
            <b/>
            <sz val="9"/>
            <color indexed="81"/>
            <rFont val="Tahoma"/>
            <family val="2"/>
            <charset val="238"/>
          </rPr>
          <t>Autor:</t>
        </r>
        <r>
          <rPr>
            <sz val="9"/>
            <color indexed="81"/>
            <rFont val="Tahoma"/>
            <family val="2"/>
            <charset val="238"/>
          </rPr>
          <t xml:space="preserve">
Kliknij "+" z lewej strony aby rozwinąć pakiet</t>
        </r>
      </text>
    </comment>
    <comment ref="C58" authorId="0" shapeId="0">
      <text>
        <r>
          <rPr>
            <b/>
            <sz val="9"/>
            <color indexed="81"/>
            <rFont val="Tahoma"/>
            <family val="2"/>
            <charset val="238"/>
          </rPr>
          <t>Autor:</t>
        </r>
        <r>
          <rPr>
            <sz val="9"/>
            <color indexed="81"/>
            <rFont val="Tahoma"/>
            <family val="2"/>
            <charset val="238"/>
          </rPr>
          <t xml:space="preserve">
Kliknij "+" z lewej strony aby rozwinąć pakiet</t>
        </r>
      </text>
    </comment>
    <comment ref="C69" authorId="0" shapeId="0">
      <text>
        <r>
          <rPr>
            <b/>
            <sz val="9"/>
            <color indexed="81"/>
            <rFont val="Tahoma"/>
            <family val="2"/>
            <charset val="238"/>
          </rPr>
          <t>Autor:</t>
        </r>
        <r>
          <rPr>
            <sz val="9"/>
            <color indexed="81"/>
            <rFont val="Tahoma"/>
            <family val="2"/>
            <charset val="238"/>
          </rPr>
          <t xml:space="preserve">
Kliknij "+" z lewej strony aby rozwinąć pakiet</t>
        </r>
      </text>
    </comment>
    <comment ref="C76" authorId="0" shapeId="0">
      <text>
        <r>
          <rPr>
            <b/>
            <sz val="9"/>
            <color indexed="81"/>
            <rFont val="Tahoma"/>
            <family val="2"/>
            <charset val="238"/>
          </rPr>
          <t>Autor:</t>
        </r>
        <r>
          <rPr>
            <sz val="9"/>
            <color indexed="81"/>
            <rFont val="Tahoma"/>
            <family val="2"/>
            <charset val="238"/>
          </rPr>
          <t xml:space="preserve">
Kliknij "+" z lewej strony aby rozwinąć pakiet</t>
        </r>
      </text>
    </comment>
    <comment ref="C82" authorId="0" shapeId="0">
      <text>
        <r>
          <rPr>
            <b/>
            <sz val="9"/>
            <color indexed="81"/>
            <rFont val="Tahoma"/>
            <family val="2"/>
            <charset val="238"/>
          </rPr>
          <t>Autor:</t>
        </r>
        <r>
          <rPr>
            <sz val="9"/>
            <color indexed="81"/>
            <rFont val="Tahoma"/>
            <family val="2"/>
            <charset val="238"/>
          </rPr>
          <t xml:space="preserve">
Kliknij "+" z lewej strony aby rozwinąć pakiet</t>
        </r>
      </text>
    </comment>
    <comment ref="C86" authorId="0" shapeId="0">
      <text>
        <r>
          <rPr>
            <b/>
            <sz val="9"/>
            <color indexed="81"/>
            <rFont val="Tahoma"/>
            <family val="2"/>
            <charset val="238"/>
          </rPr>
          <t>Autor:</t>
        </r>
        <r>
          <rPr>
            <sz val="9"/>
            <color indexed="81"/>
            <rFont val="Tahoma"/>
            <family val="2"/>
            <charset val="238"/>
          </rPr>
          <t xml:space="preserve">
Kliknij "+" z lewej strony aby rozwinąć pakiet</t>
        </r>
      </text>
    </comment>
    <comment ref="C98" authorId="0" shapeId="0">
      <text>
        <r>
          <rPr>
            <b/>
            <sz val="9"/>
            <color indexed="81"/>
            <rFont val="Tahoma"/>
            <family val="2"/>
            <charset val="238"/>
          </rPr>
          <t>Autor:</t>
        </r>
        <r>
          <rPr>
            <sz val="9"/>
            <color indexed="81"/>
            <rFont val="Tahoma"/>
            <family val="2"/>
            <charset val="238"/>
          </rPr>
          <t xml:space="preserve">
Kliknij "+" z lewej strony aby rozwinąć pakiet</t>
        </r>
      </text>
    </comment>
    <comment ref="E121" authorId="0" shapeId="0">
      <text>
        <r>
          <rPr>
            <b/>
            <sz val="9"/>
            <color indexed="81"/>
            <rFont val="Tahoma"/>
            <family val="2"/>
            <charset val="238"/>
          </rPr>
          <t>Autor:</t>
        </r>
        <r>
          <rPr>
            <sz val="9"/>
            <color indexed="81"/>
            <rFont val="Tahoma"/>
            <family val="2"/>
            <charset val="238"/>
          </rPr>
          <t xml:space="preserve">
Capp 3/uu na kampanię (na drugiej odsłonie autoexpand)</t>
        </r>
      </text>
    </comment>
    <comment ref="E123" authorId="0" shapeId="0">
      <text>
        <r>
          <rPr>
            <b/>
            <sz val="9"/>
            <color indexed="81"/>
            <rFont val="Tahoma"/>
            <family val="2"/>
            <charset val="238"/>
          </rPr>
          <t>Autor:</t>
        </r>
        <r>
          <rPr>
            <sz val="9"/>
            <color indexed="81"/>
            <rFont val="Tahoma"/>
            <family val="2"/>
            <charset val="238"/>
          </rPr>
          <t xml:space="preserve">
Capp 3/uu na kampanię (na drugiej odsłonie autoexpand)</t>
        </r>
      </text>
    </comment>
  </commentList>
</comments>
</file>

<file path=xl/comments3.xml><?xml version="1.0" encoding="utf-8"?>
<comments xmlns="http://schemas.openxmlformats.org/spreadsheetml/2006/main">
  <authors>
    <author>Autor</author>
  </authors>
  <commentList>
    <comment ref="H8" authorId="0" shapeId="0">
      <text>
        <r>
          <rPr>
            <b/>
            <sz val="9"/>
            <color indexed="81"/>
            <rFont val="Tahoma"/>
            <family val="2"/>
            <charset val="238"/>
          </rPr>
          <t>Autor:</t>
        </r>
        <r>
          <rPr>
            <sz val="9"/>
            <color indexed="81"/>
            <rFont val="Tahoma"/>
            <family val="2"/>
            <charset val="238"/>
          </rPr>
          <t xml:space="preserve">
Wiadomości Lokalne</t>
        </r>
      </text>
    </comment>
  </commentList>
</comments>
</file>

<file path=xl/sharedStrings.xml><?xml version="1.0" encoding="utf-8"?>
<sst xmlns="http://schemas.openxmlformats.org/spreadsheetml/2006/main" count="752" uniqueCount="278">
  <si>
    <t xml:space="preserve">            Wybór języka - Language</t>
  </si>
  <si>
    <t>PROSZĘ WYBRAĆ JĘZYK</t>
  </si>
  <si>
    <t>PLEASE CHOOSE LANGUAGE</t>
  </si>
  <si>
    <t>Polski</t>
  </si>
  <si>
    <t>English</t>
  </si>
  <si>
    <t>SG WP MONEY (DESKTOP/TABLET)</t>
  </si>
  <si>
    <t>SG WP MONEY (MOBILE)</t>
  </si>
  <si>
    <r>
      <t>Double Billboard lub Wideboard</t>
    </r>
    <r>
      <rPr>
        <vertAlign val="superscript"/>
        <sz val="8"/>
        <color indexed="8"/>
        <rFont val="Tahoma"/>
        <family val="2"/>
      </rPr>
      <t>1</t>
    </r>
  </si>
  <si>
    <t>Triple Billboard</t>
  </si>
  <si>
    <t xml:space="preserve">Screening / Gallery Board </t>
  </si>
  <si>
    <t>Money Box</t>
  </si>
  <si>
    <r>
      <t>Content Box</t>
    </r>
    <r>
      <rPr>
        <vertAlign val="superscript"/>
        <sz val="8"/>
        <color indexed="8"/>
        <rFont val="Tahoma"/>
        <family val="2"/>
      </rPr>
      <t>2</t>
    </r>
  </si>
  <si>
    <t>ROS SPORTOWEFAKTY (DESKTOP)</t>
  </si>
  <si>
    <r>
      <t>ROS SPORTOWEFAKTY (MOBILE)</t>
    </r>
    <r>
      <rPr>
        <b/>
        <vertAlign val="superscript"/>
        <sz val="8"/>
        <color indexed="9"/>
        <rFont val="Tahoma"/>
        <family val="2"/>
        <charset val="238"/>
      </rPr>
      <t>1</t>
    </r>
  </si>
  <si>
    <t>ROS DOBREPROGRAMY.PL (DESKTOP)</t>
  </si>
  <si>
    <t>Doublebillborad / Wideborad capp 3/uu</t>
  </si>
  <si>
    <t>WP Facet, WP Teleshow, WP Film, WP Opinie, WP Turystyka, WP Gwiazdy, WP Gry, WP Wiadomości, WP Kuchnia, WP Finanse, WP Dom, WP Moto, WP Kobieta, WP Tech, WP Książki, Wawalove</t>
  </si>
  <si>
    <t>WP Finanse, Money</t>
  </si>
  <si>
    <t>WP Wiadomości, WP Opinie</t>
  </si>
  <si>
    <t>WP Moto, Autokult</t>
  </si>
  <si>
    <t>Technologia</t>
  </si>
  <si>
    <t>WP Tech, dobreprogramy.pl, Komórkomania, Gadżetomania, Fotoblogia</t>
  </si>
  <si>
    <t>WP Kobieta, Kafeteria</t>
  </si>
  <si>
    <t>abcZdrowie, Parenting</t>
  </si>
  <si>
    <t>WP Sportowefakty</t>
  </si>
  <si>
    <t xml:space="preserve">Plotka </t>
  </si>
  <si>
    <t>WP Gwiazdy, Pudelek¹</t>
  </si>
  <si>
    <t>WP Turystyka, WP Pogoda</t>
  </si>
  <si>
    <t>FORMAT</t>
  </si>
  <si>
    <t>WP SG</t>
  </si>
  <si>
    <t>WP SportoweFakty</t>
  </si>
  <si>
    <t xml:space="preserve">
</t>
  </si>
  <si>
    <t>DESKTOP</t>
  </si>
  <si>
    <t>WP Autokult</t>
  </si>
  <si>
    <t>WP Gadżetomania</t>
  </si>
  <si>
    <t>WP Komórkomania</t>
  </si>
  <si>
    <t>WP Fotoblogia</t>
  </si>
  <si>
    <t>WP abcZdrowie</t>
  </si>
  <si>
    <t>WP Parenting</t>
  </si>
  <si>
    <t>WP Wiadomości</t>
  </si>
  <si>
    <t>WP Moto</t>
  </si>
  <si>
    <t>WP Finanse</t>
  </si>
  <si>
    <t>WP Film</t>
  </si>
  <si>
    <t>WP Turystyka</t>
  </si>
  <si>
    <t>WP Kobieta</t>
  </si>
  <si>
    <t>WP Książki</t>
  </si>
  <si>
    <t>WP Kuchnia</t>
  </si>
  <si>
    <t>WP Facet</t>
  </si>
  <si>
    <t>Sport</t>
  </si>
  <si>
    <t>Business</t>
  </si>
  <si>
    <t>Celebrieties</t>
  </si>
  <si>
    <t>Life style</t>
  </si>
  <si>
    <t>Automotive, Technology, Games</t>
  </si>
  <si>
    <t>Shopping advice</t>
  </si>
  <si>
    <t>Travel</t>
  </si>
  <si>
    <t>Pudelek</t>
  </si>
  <si>
    <t xml:space="preserve">WP </t>
  </si>
  <si>
    <t xml:space="preserve">O2 </t>
  </si>
  <si>
    <t>-</t>
  </si>
  <si>
    <t>WP + O2 [CPM]</t>
  </si>
  <si>
    <t>WP lub O2 [CPM]</t>
  </si>
  <si>
    <t>COMMERCIAL BREAK³, WELCOME SCREEN³</t>
  </si>
  <si>
    <t>COMMERCIAL BREAK³</t>
  </si>
  <si>
    <t>PREMIUM HP</t>
  </si>
  <si>
    <t>FLAT FEE</t>
  </si>
  <si>
    <t>WP Gwiazdy</t>
  </si>
  <si>
    <t>Mazowieckie</t>
  </si>
  <si>
    <t>Pomorskie, Wielkopolskie, Śląskie</t>
  </si>
  <si>
    <t>Dolnośląskie, Małopolskie</t>
  </si>
  <si>
    <t>Kujawsko-Pomorskie, Lubelskie, Podkarpackie, Zachodniopomorskie, Łódzkie</t>
  </si>
  <si>
    <t>Lubuskie, Opolskie, Podlaskie, Warmińsko-mazurskie, Świętokrzyskie</t>
  </si>
  <si>
    <t>15"</t>
  </si>
  <si>
    <t>30"</t>
  </si>
  <si>
    <t>80 PLN</t>
  </si>
  <si>
    <t>PAKIET SPECJALNY</t>
  </si>
  <si>
    <t>+50%</t>
  </si>
  <si>
    <t>+30%</t>
  </si>
  <si>
    <t>+10%</t>
  </si>
  <si>
    <t>+15%</t>
  </si>
  <si>
    <t>+100%</t>
  </si>
  <si>
    <t>+20%</t>
  </si>
  <si>
    <t>+1%</t>
  </si>
  <si>
    <t>+5%</t>
  </si>
  <si>
    <t>+40%</t>
  </si>
  <si>
    <t>+11.5%</t>
  </si>
  <si>
    <t>+15 PLN</t>
  </si>
  <si>
    <t xml:space="preserve">http://reklama.wp.pl/kat,1039751,dokumenty.html </t>
  </si>
  <si>
    <t>Midbox FF</t>
  </si>
  <si>
    <t>10 000 UU</t>
  </si>
  <si>
    <t>2 x 10 000 UU</t>
  </si>
  <si>
    <t>3 x 10 000 UU</t>
  </si>
  <si>
    <t>4 x 10 000 UU</t>
  </si>
  <si>
    <t>12 500 UU</t>
  </si>
  <si>
    <t>2 x 12 500 UU</t>
  </si>
  <si>
    <t>3 x 12 500 UU</t>
  </si>
  <si>
    <t>4 x 12 500 UU</t>
  </si>
  <si>
    <t>Retail Dniówka</t>
  </si>
  <si>
    <t>Money ROS</t>
  </si>
  <si>
    <t>WP Opinie</t>
  </si>
  <si>
    <t>MEGASCREENING</t>
  </si>
  <si>
    <t>Viewable CPM¹</t>
  </si>
  <si>
    <t>VCPM RC</t>
  </si>
  <si>
    <t>ROS DOBREPROGRAMY.PL (MOBILE)</t>
  </si>
  <si>
    <t>ARTYKUŁY SPONSOROWANE</t>
  </si>
  <si>
    <t>GWARANCJA UU¹</t>
  </si>
  <si>
    <t>2 000 UU</t>
  </si>
  <si>
    <t>3 000 UU</t>
  </si>
  <si>
    <t>4 000 UU</t>
  </si>
  <si>
    <t>5 000 UU</t>
  </si>
  <si>
    <t>bez gwarancji</t>
  </si>
  <si>
    <t>2 000 PLN</t>
  </si>
  <si>
    <t>nd</t>
  </si>
  <si>
    <t>4 000 PLN</t>
  </si>
  <si>
    <t>6 000 PLN</t>
  </si>
  <si>
    <t>8 000 PLN</t>
  </si>
  <si>
    <t>10 000 PLN</t>
  </si>
  <si>
    <t>ARTYKUŁ NATYWNY</t>
  </si>
  <si>
    <t>PLOTKA NATYWNA¹</t>
  </si>
  <si>
    <t>WPM ZASIĘG INSTREAM</t>
  </si>
  <si>
    <t>PLOTKA SPONSOROWANA</t>
  </si>
  <si>
    <t>Flat Fee 1 dzień / net net</t>
  </si>
  <si>
    <t>20 000 PLN</t>
  </si>
  <si>
    <t>Flat Fee 7 dni / net net</t>
  </si>
  <si>
    <t>25 000 PLN</t>
  </si>
  <si>
    <t>PLOTKI SPONSOROWANE I NATYWNE</t>
  </si>
  <si>
    <t>styczeń-październik</t>
  </si>
  <si>
    <t>listopad - grudzień</t>
  </si>
  <si>
    <t>DZIEŃ</t>
  </si>
  <si>
    <t>MIEJSCE EMISJI</t>
  </si>
  <si>
    <t>Pakiet serwisów Premium</t>
  </si>
  <si>
    <t>PANEL PREMIUM</t>
  </si>
  <si>
    <t>RECTANGLE</t>
  </si>
  <si>
    <t>REKLAMA FLAT FEE - mobile Poczta WP i o2</t>
  </si>
  <si>
    <t>Poczta WP</t>
  </si>
  <si>
    <t>Poczta o2</t>
  </si>
  <si>
    <t>LOGIN BOKS</t>
  </si>
  <si>
    <t>BANNER W INTERFEJSIE</t>
  </si>
  <si>
    <t>REKLAMA CPM w aplikacji</t>
  </si>
  <si>
    <t>Open FM</t>
  </si>
  <si>
    <t>WP Pilot</t>
  </si>
  <si>
    <t>BANNER</t>
  </si>
  <si>
    <t>vCPM (1 000 widzialnych odsłon)</t>
  </si>
  <si>
    <t>Portal Money.pl</t>
  </si>
  <si>
    <t>WP Pogoda</t>
  </si>
  <si>
    <t>Wawalove</t>
  </si>
  <si>
    <t>WP Program TV</t>
  </si>
  <si>
    <t>WP Teleshow</t>
  </si>
  <si>
    <t>WP Wideo</t>
  </si>
  <si>
    <t>o2 serwisy</t>
  </si>
  <si>
    <t>o2 warstwy</t>
  </si>
  <si>
    <t>OpenFM</t>
  </si>
  <si>
    <t>Kafeteria.pl</t>
  </si>
  <si>
    <t>WP Tech</t>
  </si>
  <si>
    <t>WP Fitness</t>
  </si>
  <si>
    <t>WP Gry</t>
  </si>
  <si>
    <t>dobreprogramy.pl⁵</t>
  </si>
  <si>
    <t>Medycyna24</t>
  </si>
  <si>
    <t>Nerwica.com</t>
  </si>
  <si>
    <t>PUSH REKLAMOWY</t>
  </si>
  <si>
    <t>brak</t>
  </si>
  <si>
    <t>• Artykuł sponsorowany bez gwarancji jest promowany zajawką na SG serwisu. W serwisach PAKO, wpis spada w streamie treści. W pozostałych serwisach zajawka artykułu jest promowana przez 24h.</t>
  </si>
  <si>
    <t>Pakiet Money ROS (nowa wersja serwisu)</t>
  </si>
  <si>
    <t>Double Billboard lub Halfpage</t>
  </si>
  <si>
    <t>Screening 200 + Double Billboard</t>
  </si>
  <si>
    <t>cap3xuu / dzień</t>
  </si>
  <si>
    <t>Banner XL</t>
  </si>
  <si>
    <t>Glonews FF</t>
  </si>
  <si>
    <t>Skyscraper</t>
  </si>
  <si>
    <t>Bottom Box</t>
  </si>
  <si>
    <t>Logout Box</t>
  </si>
  <si>
    <t>REKLAMA NATYWNA FLAT FEE - m.wp.pl (strona główna)</t>
  </si>
  <si>
    <t>Wiadomości</t>
  </si>
  <si>
    <t>NATIVE AD w module tematycznym</t>
  </si>
  <si>
    <t>Biznes</t>
  </si>
  <si>
    <t>Gwiazdy</t>
  </si>
  <si>
    <t>Moto</t>
  </si>
  <si>
    <t>Styl Życia</t>
  </si>
  <si>
    <t>cap 1/uu / godzinę / dzień</t>
  </si>
  <si>
    <t xml:space="preserve"> </t>
  </si>
  <si>
    <t>CONTENT BOX rotacyjny</t>
  </si>
  <si>
    <t>mobilna Strona Główna WP.PL, moduły tematyczne: Sport, Biznes, Gwiazdy, Moto&amp;Tech, Styl Życia</t>
  </si>
  <si>
    <t>+75%</t>
  </si>
  <si>
    <t>Rich Media w kreacji</t>
  </si>
  <si>
    <t>+ 50%</t>
  </si>
  <si>
    <t>STAT. WEW.</t>
  </si>
  <si>
    <t>STAT. ZEW.</t>
  </si>
  <si>
    <t>5 000 PLN net net</t>
  </si>
  <si>
    <t>3 000 PLN net net</t>
  </si>
  <si>
    <t>70 000 PLN RC</t>
  </si>
  <si>
    <t>210 000 PLN RC</t>
  </si>
  <si>
    <t>CENA RC</t>
  </si>
  <si>
    <t>o2.pl</t>
  </si>
  <si>
    <t>mobilna o2.pl (Strona Główna + ROS)</t>
  </si>
  <si>
    <t>pakiet dzienny 500 000 PV / 40 000 zł RC (vCPM 80 PLN)</t>
  </si>
  <si>
    <r>
      <t>HALFPAGE</t>
    </r>
    <r>
      <rPr>
        <b/>
        <vertAlign val="superscript"/>
        <sz val="8"/>
        <color theme="0"/>
        <rFont val="Tahoma"/>
        <family val="2"/>
        <charset val="238"/>
      </rPr>
      <t>2,3</t>
    </r>
  </si>
  <si>
    <r>
      <rPr>
        <vertAlign val="superscript"/>
        <sz val="8"/>
        <color theme="1"/>
        <rFont val="Tahoma"/>
        <family val="2"/>
        <charset val="238"/>
      </rPr>
      <t>2</t>
    </r>
    <r>
      <rPr>
        <sz val="8"/>
        <color theme="1"/>
        <rFont val="Tahoma"/>
        <family val="2"/>
        <charset val="238"/>
      </rPr>
      <t xml:space="preserve"> możliwość emisji formatu z efektem parallaxy: +15% do ceny</t>
    </r>
  </si>
  <si>
    <t>FF od 4. odsłony</t>
  </si>
  <si>
    <t>FF / dzień</t>
  </si>
  <si>
    <t>FF / dzień / net net</t>
  </si>
  <si>
    <t>FF / tydzień / net net</t>
  </si>
  <si>
    <t>FF / tydzień</t>
  </si>
  <si>
    <r>
      <rPr>
        <vertAlign val="superscript"/>
        <sz val="8"/>
        <color theme="1"/>
        <rFont val="Tahoma"/>
        <family val="2"/>
        <charset val="238"/>
      </rPr>
      <t>3</t>
    </r>
    <r>
      <rPr>
        <sz val="8"/>
        <color theme="1"/>
        <rFont val="Tahoma"/>
        <family val="2"/>
        <charset val="238"/>
      </rPr>
      <t xml:space="preserve"> na WP SG możliwość emisji formy reklamowej Rectangle lub Halfpage w tej samej cenie</t>
    </r>
  </si>
  <si>
    <t>cap 3/uu / dzień</t>
  </si>
  <si>
    <t>(I dniówka) (slot x03)</t>
  </si>
  <si>
    <t>(II dniówka) (slot x03)</t>
  </si>
  <si>
    <t>COMMERCIAL BREAK</t>
  </si>
  <si>
    <t>(slot x02)</t>
  </si>
  <si>
    <r>
      <t>PANEL PREMIUM</t>
    </r>
    <r>
      <rPr>
        <b/>
        <vertAlign val="superscript"/>
        <sz val="8"/>
        <color theme="0"/>
        <rFont val="Tahoma"/>
        <family val="2"/>
        <charset val="238"/>
      </rPr>
      <t>4</t>
    </r>
  </si>
  <si>
    <r>
      <t>RECTANGLE</t>
    </r>
    <r>
      <rPr>
        <b/>
        <vertAlign val="superscript"/>
        <sz val="8"/>
        <color theme="0"/>
        <rFont val="Tahoma"/>
        <family val="2"/>
        <charset val="238"/>
      </rPr>
      <t>1,2</t>
    </r>
  </si>
  <si>
    <t xml:space="preserve">(slot x03) </t>
  </si>
  <si>
    <t>(slot x03)</t>
  </si>
  <si>
    <t>Banner skalowalny</t>
  </si>
  <si>
    <r>
      <t>RECTANGLE / HALFPAGE</t>
    </r>
    <r>
      <rPr>
        <b/>
        <vertAlign val="superscript"/>
        <sz val="8"/>
        <color theme="0"/>
        <rFont val="Tahoma"/>
        <family val="2"/>
        <charset val="238"/>
      </rPr>
      <t>1,2,3</t>
    </r>
  </si>
  <si>
    <t>Banner (mobile)</t>
  </si>
  <si>
    <t>Karuzela XL</t>
  </si>
  <si>
    <r>
      <rPr>
        <vertAlign val="superscript"/>
        <sz val="8"/>
        <color rgb="FF000000"/>
        <rFont val="Tahoma"/>
        <family val="2"/>
        <charset val="238"/>
      </rPr>
      <t>3</t>
    </r>
    <r>
      <rPr>
        <sz val="8"/>
        <color rgb="FF000000"/>
        <rFont val="Tahoma"/>
        <family val="2"/>
        <charset val="238"/>
      </rPr>
      <t xml:space="preserve"> karuzela XL: +50%</t>
    </r>
  </si>
  <si>
    <t>ROS OPEN.FM (DESKTOP)</t>
  </si>
  <si>
    <t>ROS OPEN.FM (MOBILE)</t>
  </si>
  <si>
    <t>Screening capp 1/uu + Wideoboard capp 2/uu</t>
  </si>
  <si>
    <t>Double Billboard/Halfpage 3/uu / dzień</t>
  </si>
  <si>
    <t>tydzień</t>
  </si>
  <si>
    <t>reklama przy playerze wideo</t>
  </si>
  <si>
    <t>6"</t>
  </si>
  <si>
    <t>PAKIET APLIKACJI</t>
  </si>
  <si>
    <t>OpenFM, WP Pilot</t>
  </si>
  <si>
    <t>EMISJA ODSŁONOWA CPM</t>
  </si>
  <si>
    <t>Serwis OpenFM (aplikacja oraz WWW)</t>
  </si>
  <si>
    <t>Surround Ad (Mega Double Billboard + Halfpage 3/uu / dzień)</t>
  </si>
  <si>
    <t>Outstream Video Ad CPM¹</t>
  </si>
  <si>
    <r>
      <t>100% widzialne, 100% obejrzane do końca, 100% niepominięte</t>
    </r>
    <r>
      <rPr>
        <b/>
        <vertAlign val="superscript"/>
        <sz val="8"/>
        <color theme="0"/>
        <rFont val="Tahoma"/>
        <family val="2"/>
        <charset val="238"/>
      </rPr>
      <t>⁴</t>
    </r>
  </si>
  <si>
    <r>
      <rPr>
        <vertAlign val="superscript"/>
        <sz val="8"/>
        <color theme="1"/>
        <rFont val="Tahoma"/>
        <family val="2"/>
        <charset val="238"/>
      </rPr>
      <t>⁴</t>
    </r>
    <r>
      <rPr>
        <sz val="8"/>
        <color theme="1"/>
        <rFont val="Tahoma"/>
        <family val="2"/>
      </rPr>
      <t xml:space="preserve"> Rozliczenie po statystykach wewnętrznych WPM, 100% widoczności playera przez minimum 2 sekundy. W przypadku mierzenia kodami zewnętrznymi dopłata do ceny bazowej +30%.</t>
    </r>
  </si>
  <si>
    <t>3x100 InStream Video Ad CPV (net net)</t>
  </si>
  <si>
    <t>IN VIDEO BANNER</t>
  </si>
  <si>
    <t>DISPLAY (VCPM RC)</t>
  </si>
  <si>
    <t>BRANDING PLAYERA</t>
  </si>
  <si>
    <t>do 60"</t>
  </si>
  <si>
    <t>max 30"</t>
  </si>
  <si>
    <t>WP Dom</t>
  </si>
  <si>
    <t>Targetowanie reklamy video DataPower: wycena indywidualna</t>
  </si>
  <si>
    <t>Targetowanie reklamy video po kategoriach demograficznych i geograficznych zgodnie z dopłatami w zakładce "Dopłaty - Extra charges"</t>
  </si>
  <si>
    <r>
      <rPr>
        <vertAlign val="superscript"/>
        <sz val="8"/>
        <color theme="1"/>
        <rFont val="Tahoma"/>
        <family val="2"/>
        <charset val="238"/>
      </rPr>
      <t>1</t>
    </r>
    <r>
      <rPr>
        <sz val="8"/>
        <color theme="1"/>
        <rFont val="Tahoma"/>
        <family val="2"/>
        <charset val="238"/>
      </rPr>
      <t xml:space="preserve"> możliwość emisji formatu z efektem parallaxy: +15% do ceny bazowej</t>
    </r>
  </si>
  <si>
    <r>
      <rPr>
        <vertAlign val="superscript"/>
        <sz val="8"/>
        <color theme="1"/>
        <rFont val="Tahoma"/>
        <family val="2"/>
        <charset val="238"/>
      </rPr>
      <t>2</t>
    </r>
    <r>
      <rPr>
        <sz val="8"/>
        <color theme="1"/>
        <rFont val="Tahoma"/>
        <family val="2"/>
        <charset val="238"/>
      </rPr>
      <t xml:space="preserve"> karuzela, scroller, slider, cube w rectangle'u: +30%; karuzela XL +50% do ceny bazowej</t>
    </r>
  </si>
  <si>
    <r>
      <rPr>
        <vertAlign val="superscript"/>
        <sz val="8"/>
        <color theme="1"/>
        <rFont val="Tahoma"/>
        <family val="2"/>
        <charset val="238"/>
      </rPr>
      <t>4</t>
    </r>
    <r>
      <rPr>
        <sz val="8"/>
        <color theme="1"/>
        <rFont val="Tahoma"/>
        <family val="2"/>
        <charset val="238"/>
      </rPr>
      <t xml:space="preserve"> możliwa emisja FullPage Mobile Panel Premium: +25% do ceny bazowej (Format dostepny na Stronie Głównej WP oraz serwisach: WP Pogoda, WP Program TV, WP Facet, WP Teleshow, WP Film, WP Opinie, WP Turystyka, WP Gwiazdy, WP Gry, WP Wiadomości, WP Kuchnia, WP Finanse, WP Dom, WP Moto, WP Kobieta, WP Tech, WP Książki, WP Wawalove)</t>
    </r>
  </si>
  <si>
    <t>DP Biznes, Dp Finanse, DP Ubezpieczenia</t>
  </si>
  <si>
    <t>DP Sport</t>
  </si>
  <si>
    <t>DP Motoryzacja</t>
  </si>
  <si>
    <t>DP Rozrywka, DP Zainteresowania</t>
  </si>
  <si>
    <t>DP Zakupy, DP Kuchnia, DP Lifestyle, DP Sportowcy, DP Turysyka</t>
  </si>
  <si>
    <t>DP Technologia, DP Gracze</t>
  </si>
  <si>
    <t>DP Zdrowie, DP Rodzina, DP Uroda,  DP Poszukujący lekarza</t>
  </si>
  <si>
    <t>WP Data Power Geotargetowanie, województwa, miasta, konkretna lokalizacja</t>
  </si>
  <si>
    <t>Persony użytkowników- składa się z kilku wybranych cech (segmentów). Aby użytkwonik trafił do profilu, musi spełnić wszystkie warunki - uzyskujemy pełny obraz użytkownika - obecnie 10 gotowych Person. Podsumowanie kampaniij z raportem Audience Discovery (wersja podstawowa i rozszerzona).</t>
  </si>
  <si>
    <t>Unikalne grupy dedykowane. Segmenty tworzymy pod konkretnego klienta lub konkretną kampanię.</t>
  </si>
  <si>
    <t>WP SG, o2 SG - po wybranych standardowych segmentach WP DataPower</t>
  </si>
  <si>
    <t>WPM Zasięg (bez stron głównych o2 i WP oraz serwisów pocztowych) - po wybranych standardowych segmentach WP DataPower</t>
  </si>
  <si>
    <t>Panel Premium FF</t>
  </si>
  <si>
    <t>Pudelek.pl (Strona Główna + ROS)</t>
  </si>
  <si>
    <t>BANNER XL</t>
  </si>
  <si>
    <t>CENA net net</t>
  </si>
  <si>
    <t>CPM RC</t>
  </si>
  <si>
    <t>pakiet dzienny 1 000 000 PV / 80 000 zł RC (vCPM 80 PLN)</t>
  </si>
  <si>
    <t>Pudelek SG</t>
  </si>
  <si>
    <t>Pudelek SG + ROS</t>
  </si>
  <si>
    <t>(slot x05)</t>
  </si>
  <si>
    <t>Flat Fee / dzień</t>
  </si>
  <si>
    <t>BANNER XL z karuzelą</t>
  </si>
  <si>
    <t>Panel Premium</t>
  </si>
  <si>
    <t>styczeń - wrzesień</t>
  </si>
  <si>
    <t>październik - grudzień</t>
  </si>
  <si>
    <t>WP SG + Pudelek SG</t>
  </si>
  <si>
    <t>WP SG (moduł gwiazdy x21)
Pudelek SG (slot x21)</t>
  </si>
  <si>
    <t>ROS</t>
  </si>
  <si>
    <t>18 000 PLN net net</t>
  </si>
  <si>
    <r>
      <t>WP Money</t>
    </r>
    <r>
      <rPr>
        <sz val="8"/>
        <color theme="1"/>
        <rFont val="Tahoma"/>
        <family val="2"/>
        <charset val="238"/>
      </rPr>
      <t xml:space="preserve"> (bez subdomen)</t>
    </r>
  </si>
  <si>
    <t>SG + ROS</t>
  </si>
  <si>
    <t>PUDELEK</t>
  </si>
  <si>
    <t>Pudelek.pl SG + ROS</t>
  </si>
  <si>
    <t>Halfpage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</si>
</sst>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0\ &quot;zł&quot;;[Red]\-#,##0\ &quot;zł&quot;"/>
    <numFmt numFmtId="44" formatCode="_-* #,##0.00\ &quot;zł&quot;_-;\-* #,##0.00\ &quot;zł&quot;_-;_-* &quot;-&quot;??\ &quot;zł&quot;_-;_-@_-"/>
    <numFmt numFmtId="43" formatCode="_-* #,##0.00\ _z_ł_-;\-* #,##0.00\ _z_ł_-;_-* &quot;-&quot;??\ _z_ł_-;_-@_-"/>
    <numFmt numFmtId="164" formatCode="#,##0.00\ &quot;zł&quot;"/>
    <numFmt numFmtId="165" formatCode="#,##0\ &quot;zł&quot;"/>
    <numFmt numFmtId="166" formatCode="#,##0.0\ &quot;zł&quot;"/>
    <numFmt numFmtId="167" formatCode="#,##0%"/>
    <numFmt numFmtId="168" formatCode="#,##0&quot; &quot;[$zł-415]"/>
    <numFmt numFmtId="169" formatCode="#,##0\ [$PLN]"/>
    <numFmt numFmtId="170" formatCode="#,##0\ [$PLN];[Red]\-#,##0\ [$PLN]"/>
    <numFmt numFmtId="171" formatCode="#,##0.00\ [$PLN]"/>
    <numFmt numFmtId="172" formatCode="#,##0\ [$PLN];\-#,##0\ [$PLN]"/>
  </numFmts>
  <fonts count="80">
    <font>
      <sz val="11"/>
      <color theme="1"/>
      <name val="Calibri"/>
      <family val="2"/>
      <charset val="238"/>
      <scheme val="minor"/>
    </font>
    <font>
      <b/>
      <sz val="10"/>
      <color indexed="8"/>
      <name val="Tahoma"/>
      <family val="2"/>
    </font>
    <font>
      <sz val="10"/>
      <color indexed="8"/>
      <name val="Tahoma"/>
      <family val="2"/>
    </font>
    <font>
      <sz val="10"/>
      <name val="Tahoma"/>
      <family val="2"/>
    </font>
    <font>
      <b/>
      <sz val="8"/>
      <color indexed="8"/>
      <name val="Tahoma"/>
      <family val="2"/>
    </font>
    <font>
      <b/>
      <sz val="10"/>
      <name val="Calibri"/>
      <family val="2"/>
    </font>
    <font>
      <sz val="10"/>
      <name val="Calibri"/>
      <family val="2"/>
    </font>
    <font>
      <sz val="10"/>
      <name val="Arial"/>
      <family val="2"/>
    </font>
    <font>
      <b/>
      <sz val="10"/>
      <name val="Arial"/>
      <family val="2"/>
    </font>
    <font>
      <sz val="11"/>
      <color indexed="8"/>
      <name val="Helvetica Neue"/>
    </font>
    <font>
      <sz val="10"/>
      <color indexed="8"/>
      <name val="Arial"/>
      <family val="2"/>
    </font>
    <font>
      <b/>
      <sz val="10"/>
      <color indexed="9"/>
      <name val="Tahoma"/>
      <family val="2"/>
    </font>
    <font>
      <sz val="11"/>
      <color indexed="8"/>
      <name val="Trebuchet MS"/>
      <family val="2"/>
    </font>
    <font>
      <sz val="12"/>
      <color indexed="8"/>
      <name val="Verdana"/>
      <family val="2"/>
    </font>
    <font>
      <sz val="12"/>
      <color indexed="8"/>
      <name val="Verdana"/>
      <family val="2"/>
    </font>
    <font>
      <sz val="12"/>
      <color indexed="8"/>
      <name val="Verdana"/>
      <family val="2"/>
      <charset val="238"/>
    </font>
    <font>
      <sz val="8"/>
      <color indexed="8"/>
      <name val="Tahoma"/>
      <family val="2"/>
    </font>
    <font>
      <sz val="8"/>
      <color indexed="8"/>
      <name val="Tahoma"/>
      <family val="2"/>
      <charset val="238"/>
    </font>
    <font>
      <b/>
      <vertAlign val="superscript"/>
      <sz val="8"/>
      <color indexed="9"/>
      <name val="Tahoma"/>
      <family val="2"/>
      <charset val="238"/>
    </font>
    <font>
      <sz val="8"/>
      <name val="Tahoma"/>
      <family val="2"/>
    </font>
    <font>
      <vertAlign val="superscript"/>
      <sz val="8"/>
      <color indexed="8"/>
      <name val="Tahoma"/>
      <family val="2"/>
    </font>
    <font>
      <b/>
      <sz val="8"/>
      <color indexed="9"/>
      <name val="Tahoma"/>
      <family val="2"/>
    </font>
    <font>
      <b/>
      <sz val="8"/>
      <name val="Tahoma"/>
      <family val="2"/>
    </font>
    <font>
      <sz val="8"/>
      <name val="Tahoma"/>
      <family val="2"/>
      <charset val="238"/>
    </font>
    <font>
      <sz val="11"/>
      <color theme="1"/>
      <name val="Calibri"/>
      <family val="2"/>
      <charset val="238"/>
      <scheme val="minor"/>
    </font>
    <font>
      <sz val="11"/>
      <color theme="1"/>
      <name val="Calibri"/>
      <family val="2"/>
      <scheme val="minor"/>
    </font>
    <font>
      <u/>
      <sz val="11"/>
      <color theme="10"/>
      <name val="Calibri"/>
      <family val="2"/>
      <charset val="238"/>
      <scheme val="minor"/>
    </font>
    <font>
      <u/>
      <sz val="11"/>
      <color theme="10"/>
      <name val="Calibri"/>
      <family val="2"/>
      <scheme val="minor"/>
    </font>
    <font>
      <sz val="10"/>
      <color rgb="FF000000"/>
      <name val="Arial"/>
      <family val="2"/>
      <charset val="238"/>
    </font>
    <font>
      <b/>
      <sz val="11"/>
      <color theme="1"/>
      <name val="Calibri"/>
      <family val="2"/>
      <charset val="238"/>
      <scheme val="minor"/>
    </font>
    <font>
      <sz val="10"/>
      <color theme="1"/>
      <name val="Tahoma"/>
      <family val="2"/>
    </font>
    <font>
      <sz val="10"/>
      <color rgb="FF000000"/>
      <name val="Tahoma"/>
      <family val="2"/>
    </font>
    <font>
      <b/>
      <sz val="10"/>
      <color theme="0"/>
      <name val="Tahoma"/>
      <family val="2"/>
    </font>
    <font>
      <b/>
      <sz val="10"/>
      <color rgb="FFFFFFFF"/>
      <name val="Tahoma"/>
      <family val="2"/>
    </font>
    <font>
      <sz val="8"/>
      <color theme="1"/>
      <name val="Tahoma"/>
      <family val="2"/>
    </font>
    <font>
      <b/>
      <sz val="10"/>
      <color theme="1"/>
      <name val="Tahoma"/>
      <family val="2"/>
    </font>
    <font>
      <sz val="12"/>
      <color theme="1"/>
      <name val="Tahoma"/>
      <family val="2"/>
    </font>
    <font>
      <sz val="11"/>
      <color indexed="8"/>
      <name val="Calibri"/>
      <family val="2"/>
      <scheme val="minor"/>
    </font>
    <font>
      <sz val="10"/>
      <color rgb="FF1F497D"/>
      <name val="Tahoma"/>
      <family val="2"/>
    </font>
    <font>
      <b/>
      <sz val="10"/>
      <color theme="5"/>
      <name val="Tahoma"/>
      <family val="2"/>
    </font>
    <font>
      <sz val="10"/>
      <color theme="5"/>
      <name val="Tahoma"/>
      <family val="2"/>
    </font>
    <font>
      <sz val="10"/>
      <color theme="0"/>
      <name val="Tahoma"/>
      <family val="2"/>
    </font>
    <font>
      <sz val="10"/>
      <color theme="1"/>
      <name val="Tahoma"/>
      <family val="2"/>
      <charset val="238"/>
    </font>
    <font>
      <b/>
      <sz val="10"/>
      <color rgb="FF002060"/>
      <name val="Tahoma"/>
      <family val="2"/>
    </font>
    <font>
      <sz val="10"/>
      <color theme="0" tint="-0.14999847407452621"/>
      <name val="Tahoma"/>
      <family val="2"/>
    </font>
    <font>
      <b/>
      <sz val="8"/>
      <color theme="0"/>
      <name val="Tahoma"/>
      <family val="2"/>
    </font>
    <font>
      <b/>
      <sz val="10"/>
      <color theme="1"/>
      <name val="Tahoma"/>
      <family val="2"/>
      <charset val="238"/>
    </font>
    <font>
      <sz val="8"/>
      <color theme="1"/>
      <name val="Tahoma"/>
      <family val="2"/>
      <charset val="238"/>
    </font>
    <font>
      <b/>
      <sz val="8"/>
      <color rgb="FF002060"/>
      <name val="Tahoma"/>
      <family val="2"/>
    </font>
    <font>
      <sz val="8"/>
      <color rgb="FFC00000"/>
      <name val="Tahoma"/>
      <family val="2"/>
    </font>
    <font>
      <b/>
      <sz val="8"/>
      <color theme="1"/>
      <name val="Tahoma"/>
      <family val="2"/>
    </font>
    <font>
      <sz val="8"/>
      <color rgb="FF000000"/>
      <name val="Tahoma"/>
      <family val="2"/>
    </font>
    <font>
      <b/>
      <sz val="8"/>
      <color theme="0"/>
      <name val="Tahoma"/>
      <family val="2"/>
      <charset val="238"/>
    </font>
    <font>
      <sz val="8"/>
      <color theme="0"/>
      <name val="Tahoma"/>
      <family val="2"/>
    </font>
    <font>
      <b/>
      <sz val="8"/>
      <color theme="0" tint="-0.14999847407452621"/>
      <name val="Tahoma"/>
      <family val="2"/>
    </font>
    <font>
      <b/>
      <sz val="8"/>
      <color rgb="FFFFFFFF"/>
      <name val="Tahoma"/>
      <family val="2"/>
    </font>
    <font>
      <sz val="8"/>
      <color theme="1"/>
      <name val="Calibri"/>
      <family val="2"/>
      <charset val="238"/>
      <scheme val="minor"/>
    </font>
    <font>
      <b/>
      <sz val="8"/>
      <color theme="0" tint="-0.249977111117893"/>
      <name val="Tahoma"/>
      <family val="2"/>
    </font>
    <font>
      <b/>
      <sz val="8"/>
      <color rgb="FFFF0000"/>
      <name val="Tahoma"/>
      <family val="2"/>
      <charset val="238"/>
    </font>
    <font>
      <sz val="12"/>
      <color theme="1"/>
      <name val="Tahoma"/>
      <family val="2"/>
      <charset val="238"/>
    </font>
    <font>
      <i/>
      <sz val="8"/>
      <color theme="1"/>
      <name val="Tahoma"/>
      <family val="2"/>
      <charset val="238"/>
    </font>
    <font>
      <b/>
      <sz val="8"/>
      <color theme="0" tint="-0.34998626667073579"/>
      <name val="Tahoma"/>
      <family val="2"/>
      <charset val="238"/>
    </font>
    <font>
      <b/>
      <sz val="8"/>
      <color theme="1"/>
      <name val="Tahoma"/>
      <family val="2"/>
      <charset val="238"/>
    </font>
    <font>
      <sz val="11"/>
      <color rgb="FF1F497D"/>
      <name val="Corbel"/>
      <family val="2"/>
      <charset val="238"/>
    </font>
    <font>
      <b/>
      <sz val="8"/>
      <color indexed="8"/>
      <name val="Tahoma"/>
      <family val="2"/>
      <charset val="238"/>
    </font>
    <font>
      <b/>
      <sz val="8"/>
      <name val="Tahoma"/>
      <family val="2"/>
      <charset val="238"/>
    </font>
    <font>
      <sz val="9"/>
      <color indexed="81"/>
      <name val="Tahoma"/>
      <family val="2"/>
      <charset val="238"/>
    </font>
    <font>
      <b/>
      <sz val="9"/>
      <color indexed="81"/>
      <name val="Tahoma"/>
      <family val="2"/>
      <charset val="238"/>
    </font>
    <font>
      <vertAlign val="superscript"/>
      <sz val="8"/>
      <color theme="1"/>
      <name val="Tahoma"/>
      <family val="2"/>
      <charset val="238"/>
    </font>
    <font>
      <b/>
      <vertAlign val="superscript"/>
      <sz val="8"/>
      <color theme="0"/>
      <name val="Tahoma"/>
      <family val="2"/>
      <charset val="238"/>
    </font>
    <font>
      <sz val="8"/>
      <color theme="0" tint="-0.499984740745262"/>
      <name val="Tahoma"/>
      <family val="2"/>
    </font>
    <font>
      <sz val="8"/>
      <color theme="0" tint="-0.499984740745262"/>
      <name val="Tahoma"/>
      <family val="2"/>
      <charset val="238"/>
    </font>
    <font>
      <b/>
      <sz val="7"/>
      <color theme="0"/>
      <name val="Tahoma"/>
      <family val="2"/>
      <charset val="238"/>
    </font>
    <font>
      <sz val="8"/>
      <color rgb="FF000000"/>
      <name val="Tahoma"/>
      <family val="2"/>
      <charset val="238"/>
    </font>
    <font>
      <vertAlign val="superscript"/>
      <sz val="8"/>
      <color rgb="FF000000"/>
      <name val="Tahoma"/>
      <family val="2"/>
      <charset val="238"/>
    </font>
    <font>
      <b/>
      <u/>
      <sz val="11"/>
      <color theme="0"/>
      <name val="Calibri"/>
      <family val="2"/>
      <charset val="238"/>
      <scheme val="minor"/>
    </font>
    <font>
      <sz val="10"/>
      <color theme="0" tint="-0.499984740745262"/>
      <name val="Tahoma"/>
      <family val="2"/>
    </font>
    <font>
      <sz val="11"/>
      <color theme="0" tint="-0.499984740745262"/>
      <name val="Calibri"/>
      <family val="2"/>
      <charset val="238"/>
      <scheme val="minor"/>
    </font>
    <font>
      <sz val="10"/>
      <color theme="0" tint="-0.499984740745262"/>
      <name val="Arial"/>
      <family val="2"/>
    </font>
    <font>
      <b/>
      <sz val="8"/>
      <color theme="0" tint="-0.499984740745262"/>
      <name val="Tahoma"/>
      <family val="2"/>
      <charset val="238"/>
    </font>
  </fonts>
  <fills count="26">
    <fill>
      <patternFill patternType="none"/>
    </fill>
    <fill>
      <patternFill patternType="gray125"/>
    </fill>
    <fill>
      <patternFill patternType="solid">
        <fgColor indexed="9"/>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indexed="31"/>
      </patternFill>
    </fill>
    <fill>
      <patternFill patternType="solid">
        <fgColor theme="0"/>
        <bgColor indexed="26"/>
      </patternFill>
    </fill>
    <fill>
      <patternFill patternType="solid">
        <fgColor theme="0"/>
        <bgColor indexed="44"/>
      </patternFill>
    </fill>
    <fill>
      <patternFill patternType="solid">
        <fgColor rgb="FFC00000"/>
        <bgColor indexed="64"/>
      </patternFill>
    </fill>
    <fill>
      <patternFill patternType="solid">
        <fgColor rgb="FFFFFFFF"/>
        <bgColor indexed="64"/>
      </patternFill>
    </fill>
    <fill>
      <patternFill patternType="solid">
        <fgColor theme="0"/>
        <bgColor indexed="27"/>
      </patternFill>
    </fill>
    <fill>
      <patternFill patternType="solid">
        <fgColor theme="0"/>
        <bgColor indexed="9"/>
      </patternFill>
    </fill>
    <fill>
      <patternFill patternType="solid">
        <fgColor theme="0" tint="-4.9989318521683403E-2"/>
        <bgColor indexed="64"/>
      </patternFill>
    </fill>
    <fill>
      <patternFill patternType="solid">
        <fgColor rgb="FF00A249"/>
        <bgColor indexed="64"/>
      </patternFill>
    </fill>
    <fill>
      <patternFill patternType="solid">
        <fgColor rgb="FFC00000"/>
        <bgColor theme="0"/>
      </patternFill>
    </fill>
    <fill>
      <patternFill patternType="solid">
        <fgColor theme="6" tint="0.79998168889431442"/>
        <bgColor indexed="64"/>
      </patternFill>
    </fill>
    <fill>
      <patternFill patternType="solid">
        <fgColor theme="1" tint="0.149998474074526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DC92CC"/>
        <bgColor indexed="64"/>
      </patternFill>
    </fill>
    <fill>
      <patternFill patternType="solid">
        <fgColor rgb="FF7030A0"/>
        <bgColor indexed="64"/>
      </patternFill>
    </fill>
    <fill>
      <patternFill patternType="solid">
        <fgColor theme="4" tint="0.79998168889431442"/>
        <bgColor indexed="64"/>
      </patternFill>
    </fill>
    <fill>
      <patternFill patternType="solid">
        <fgColor rgb="FF635AD8"/>
        <bgColor indexed="64"/>
      </patternFill>
    </fill>
    <fill>
      <patternFill patternType="solid">
        <fgColor theme="0"/>
        <bgColor theme="0"/>
      </patternFill>
    </fill>
  </fills>
  <borders count="124">
    <border>
      <left/>
      <right/>
      <top/>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top/>
      <bottom style="hair">
        <color indexed="64"/>
      </bottom>
      <diagonal/>
    </border>
    <border>
      <left style="thin">
        <color indexed="64"/>
      </left>
      <right/>
      <top style="thin">
        <color indexed="64"/>
      </top>
      <bottom style="thin">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rgb="FFC00000"/>
      </right>
      <top/>
      <bottom/>
      <diagonal/>
    </border>
    <border>
      <left/>
      <right/>
      <top/>
      <bottom style="thin">
        <color rgb="FFC00000"/>
      </bottom>
      <diagonal/>
    </border>
    <border>
      <left/>
      <right style="thin">
        <color theme="0" tint="-4.9989318521683403E-2"/>
      </right>
      <top/>
      <bottom/>
      <diagonal/>
    </border>
    <border>
      <left/>
      <right style="thin">
        <color theme="0" tint="-4.9989318521683403E-2"/>
      </right>
      <top style="thin">
        <color indexed="64"/>
      </top>
      <bottom/>
      <diagonal/>
    </border>
    <border>
      <left style="thin">
        <color indexed="64"/>
      </left>
      <right style="thin">
        <color indexed="64"/>
      </right>
      <top style="thin">
        <color rgb="FFC00000"/>
      </top>
      <bottom style="hair">
        <color indexed="64"/>
      </bottom>
      <diagonal/>
    </border>
    <border>
      <left style="thin">
        <color indexed="64"/>
      </left>
      <right/>
      <top style="thin">
        <color rgb="FFC00000"/>
      </top>
      <bottom style="hair">
        <color indexed="64"/>
      </bottom>
      <diagonal/>
    </border>
    <border>
      <left/>
      <right style="thin">
        <color indexed="64"/>
      </right>
      <top style="thin">
        <color rgb="FFC00000"/>
      </top>
      <bottom style="hair">
        <color indexed="64"/>
      </bottom>
      <diagonal/>
    </border>
    <border>
      <left/>
      <right/>
      <top style="thin">
        <color rgb="FFC00000"/>
      </top>
      <bottom/>
      <diagonal/>
    </border>
    <border>
      <left/>
      <right style="thin">
        <color rgb="FFC00000"/>
      </right>
      <top style="thin">
        <color rgb="FFC00000"/>
      </top>
      <bottom/>
      <diagonal/>
    </border>
    <border>
      <left style="thin">
        <color indexed="64"/>
      </left>
      <right style="thin">
        <color indexed="64"/>
      </right>
      <top style="thin">
        <color theme="3"/>
      </top>
      <bottom style="hair">
        <color indexed="64"/>
      </bottom>
      <diagonal/>
    </border>
    <border>
      <left/>
      <right/>
      <top style="thin">
        <color theme="0"/>
      </top>
      <bottom style="thin">
        <color theme="0"/>
      </bottom>
      <diagonal/>
    </border>
    <border>
      <left/>
      <right style="thin">
        <color rgb="FF00B050"/>
      </right>
      <top/>
      <bottom/>
      <diagonal/>
    </border>
    <border>
      <left/>
      <right style="thin">
        <color theme="1"/>
      </right>
      <top/>
      <bottom style="thin">
        <color indexed="64"/>
      </bottom>
      <diagonal/>
    </border>
    <border>
      <left/>
      <right/>
      <top style="thin">
        <color theme="4" tint="0.79998168889431442"/>
      </top>
      <bottom/>
      <diagonal/>
    </border>
    <border>
      <left/>
      <right style="thin">
        <color rgb="FFC00000"/>
      </right>
      <top/>
      <bottom style="thin">
        <color rgb="FFC00000"/>
      </bottom>
      <diagonal/>
    </border>
    <border>
      <left style="thin">
        <color rgb="FFC00000"/>
      </left>
      <right style="thin">
        <color rgb="FFC00000"/>
      </right>
      <top/>
      <bottom/>
      <diagonal/>
    </border>
    <border>
      <left/>
      <right style="thin">
        <color rgb="FFC00000"/>
      </right>
      <top/>
      <bottom style="thin">
        <color theme="0"/>
      </bottom>
      <diagonal/>
    </border>
    <border>
      <left style="thin">
        <color rgb="FFC00000"/>
      </left>
      <right style="thin">
        <color rgb="FFC00000"/>
      </right>
      <top/>
      <bottom style="thin">
        <color theme="0"/>
      </bottom>
      <diagonal/>
    </border>
    <border>
      <left style="thin">
        <color rgb="FFC00000"/>
      </left>
      <right/>
      <top/>
      <bottom style="thin">
        <color theme="0"/>
      </bottom>
      <diagonal/>
    </border>
    <border>
      <left/>
      <right/>
      <top style="thin">
        <color theme="0"/>
      </top>
      <bottom style="thin">
        <color rgb="FFC00000"/>
      </bottom>
      <diagonal/>
    </border>
    <border>
      <left/>
      <right/>
      <top/>
      <bottom style="thin">
        <color theme="0"/>
      </bottom>
      <diagonal/>
    </border>
    <border>
      <left/>
      <right style="thick">
        <color rgb="FFFF0000"/>
      </right>
      <top/>
      <bottom/>
      <diagonal/>
    </border>
    <border>
      <left/>
      <right/>
      <top/>
      <bottom style="thick">
        <color rgb="FFFF0000"/>
      </bottom>
      <diagonal/>
    </border>
    <border>
      <left/>
      <right/>
      <top style="thick">
        <color rgb="FFFF0000"/>
      </top>
      <bottom/>
      <diagonal/>
    </border>
    <border>
      <left/>
      <right style="thick">
        <color rgb="FFFF0000"/>
      </right>
      <top style="thick">
        <color rgb="FFFF0000"/>
      </top>
      <bottom/>
      <diagonal/>
    </border>
    <border>
      <left/>
      <right style="thin">
        <color theme="2"/>
      </right>
      <top/>
      <bottom/>
      <diagonal/>
    </border>
    <border>
      <left/>
      <right style="thin">
        <color indexed="64"/>
      </right>
      <top style="thin">
        <color theme="0"/>
      </top>
      <bottom style="thin">
        <color indexed="64"/>
      </bottom>
      <diagonal/>
    </border>
    <border>
      <left/>
      <right style="thin">
        <color indexed="64"/>
      </right>
      <top/>
      <bottom style="thin">
        <color theme="0"/>
      </bottom>
      <diagonal/>
    </border>
    <border>
      <left/>
      <right/>
      <top style="thin">
        <color rgb="FFC00000"/>
      </top>
      <bottom style="hair">
        <color indexed="64"/>
      </bottom>
      <diagonal/>
    </border>
    <border>
      <left style="thin">
        <color indexed="64"/>
      </left>
      <right/>
      <top style="thin">
        <color theme="7" tint="-0.249977111117893"/>
      </top>
      <bottom style="hair">
        <color indexed="64"/>
      </bottom>
      <diagonal/>
    </border>
    <border>
      <left/>
      <right/>
      <top style="thin">
        <color theme="7" tint="-0.249977111117893"/>
      </top>
      <bottom style="hair">
        <color indexed="64"/>
      </bottom>
      <diagonal/>
    </border>
    <border>
      <left/>
      <right style="thin">
        <color indexed="64"/>
      </right>
      <top style="thin">
        <color theme="7" tint="-0.249977111117893"/>
      </top>
      <bottom style="hair">
        <color indexed="64"/>
      </bottom>
      <diagonal/>
    </border>
    <border>
      <left/>
      <right style="thin">
        <color indexed="64"/>
      </right>
      <top style="thin">
        <color theme="0"/>
      </top>
      <bottom/>
      <diagonal/>
    </border>
    <border>
      <left/>
      <right style="thin">
        <color theme="5" tint="0.39997558519241921"/>
      </right>
      <top/>
      <bottom/>
      <diagonal/>
    </border>
    <border>
      <left/>
      <right style="thin">
        <color rgb="FF7030A0"/>
      </right>
      <top/>
      <bottom/>
      <diagonal/>
    </border>
    <border>
      <left/>
      <right style="thin">
        <color rgb="FF7030A0"/>
      </right>
      <top/>
      <bottom style="thin">
        <color theme="7" tint="-0.249977111117893"/>
      </bottom>
      <diagonal/>
    </border>
    <border>
      <left/>
      <right/>
      <top/>
      <bottom style="thin">
        <color theme="7" tint="-0.249977111117893"/>
      </bottom>
      <diagonal/>
    </border>
    <border>
      <left/>
      <right style="thin">
        <color indexed="64"/>
      </right>
      <top/>
      <bottom style="thin">
        <color theme="4" tint="0.79998168889431442"/>
      </bottom>
      <diagonal/>
    </border>
    <border>
      <left/>
      <right/>
      <top style="thin">
        <color rgb="FFC00000"/>
      </top>
      <bottom style="thin">
        <color rgb="FFC00000"/>
      </bottom>
      <diagonal/>
    </border>
    <border>
      <left/>
      <right/>
      <top style="thin">
        <color rgb="FFC00000"/>
      </top>
      <bottom style="thin">
        <color theme="0"/>
      </bottom>
      <diagonal/>
    </border>
    <border>
      <left/>
      <right style="thin">
        <color rgb="FFC00000"/>
      </right>
      <top style="thin">
        <color rgb="FFC00000"/>
      </top>
      <bottom style="thin">
        <color theme="0"/>
      </bottom>
      <diagonal/>
    </border>
    <border>
      <left style="thin">
        <color rgb="FFC00000"/>
      </left>
      <right/>
      <top/>
      <bottom/>
      <diagonal/>
    </border>
    <border>
      <left style="thin">
        <color rgb="FFC00000"/>
      </left>
      <right/>
      <top style="thin">
        <color rgb="FFC00000"/>
      </top>
      <bottom/>
      <diagonal/>
    </border>
    <border>
      <left/>
      <right style="thin">
        <color theme="2"/>
      </right>
      <top style="thick">
        <color rgb="FFFF0000"/>
      </top>
      <bottom/>
      <diagonal/>
    </border>
    <border>
      <left/>
      <right style="thin">
        <color theme="2"/>
      </right>
      <top/>
      <bottom style="thin">
        <color theme="0"/>
      </bottom>
      <diagonal/>
    </border>
    <border>
      <left/>
      <right style="thick">
        <color rgb="FFFF0000"/>
      </right>
      <top/>
      <bottom style="thin">
        <color indexed="64"/>
      </bottom>
      <diagonal/>
    </border>
    <border>
      <left style="thin">
        <color theme="2"/>
      </left>
      <right/>
      <top/>
      <bottom/>
      <diagonal/>
    </border>
    <border>
      <left style="thin">
        <color theme="2"/>
      </left>
      <right/>
      <top style="thin">
        <color rgb="FFC00000"/>
      </top>
      <bottom/>
      <diagonal/>
    </border>
    <border>
      <left/>
      <right style="thin">
        <color theme="2"/>
      </right>
      <top style="thin">
        <color rgb="FFC00000"/>
      </top>
      <bottom/>
      <diagonal/>
    </border>
    <border>
      <left/>
      <right/>
      <top style="thin">
        <color theme="0"/>
      </top>
      <bottom/>
      <diagonal/>
    </border>
    <border>
      <left/>
      <right/>
      <top style="thin">
        <color indexed="64"/>
      </top>
      <bottom style="thin">
        <color theme="0"/>
      </bottom>
      <diagonal/>
    </border>
    <border>
      <left style="thin">
        <color indexed="64"/>
      </left>
      <right style="thin">
        <color rgb="FFC00000"/>
      </right>
      <top/>
      <bottom/>
      <diagonal/>
    </border>
    <border>
      <left/>
      <right style="thin">
        <color rgb="FFC00000"/>
      </right>
      <top/>
      <bottom style="thin">
        <color indexed="64"/>
      </bottom>
      <diagonal/>
    </border>
    <border>
      <left/>
      <right style="thin">
        <color rgb="FFC00000"/>
      </right>
      <top style="thin">
        <color indexed="64"/>
      </top>
      <bottom style="thin">
        <color theme="0"/>
      </bottom>
      <diagonal/>
    </border>
    <border>
      <left style="thin">
        <color theme="0"/>
      </left>
      <right/>
      <top/>
      <bottom/>
      <diagonal/>
    </border>
    <border>
      <left style="thin">
        <color indexed="64"/>
      </left>
      <right/>
      <top style="thin">
        <color rgb="FFC00000"/>
      </top>
      <bottom style="thin">
        <color indexed="64"/>
      </bottom>
      <diagonal/>
    </border>
    <border>
      <left/>
      <right style="thin">
        <color indexed="64"/>
      </right>
      <top style="thin">
        <color rgb="FFC00000"/>
      </top>
      <bottom style="thin">
        <color indexed="64"/>
      </bottom>
      <diagonal/>
    </border>
    <border>
      <left/>
      <right style="thin">
        <color indexed="64"/>
      </right>
      <top/>
      <bottom style="thin">
        <color theme="2"/>
      </bottom>
      <diagonal/>
    </border>
    <border>
      <left style="thin">
        <color indexed="64"/>
      </left>
      <right/>
      <top style="thin">
        <color theme="0"/>
      </top>
      <bottom style="hair">
        <color indexed="64"/>
      </bottom>
      <diagonal/>
    </border>
    <border>
      <left/>
      <right style="thin">
        <color indexed="64"/>
      </right>
      <top style="thin">
        <color theme="0"/>
      </top>
      <bottom style="hair">
        <color indexed="64"/>
      </bottom>
      <diagonal/>
    </border>
    <border>
      <left/>
      <right/>
      <top style="thin">
        <color theme="2"/>
      </top>
      <bottom style="thin">
        <color theme="0"/>
      </bottom>
      <diagonal/>
    </border>
    <border>
      <left style="thin">
        <color theme="1"/>
      </left>
      <right/>
      <top/>
      <bottom style="thin">
        <color indexed="64"/>
      </bottom>
      <diagonal/>
    </border>
    <border>
      <left style="thick">
        <color rgb="FFFF0000"/>
      </left>
      <right/>
      <top/>
      <bottom/>
      <diagonal/>
    </border>
    <border>
      <left/>
      <right/>
      <top style="thin">
        <color theme="6" tint="0.79998168889431442"/>
      </top>
      <bottom/>
      <diagonal/>
    </border>
    <border>
      <left style="thin">
        <color indexed="64"/>
      </left>
      <right/>
      <top style="thin">
        <color rgb="FFC00000"/>
      </top>
      <bottom/>
      <diagonal/>
    </border>
    <border>
      <left/>
      <right style="thin">
        <color indexed="64"/>
      </right>
      <top style="thin">
        <color rgb="FFC00000"/>
      </top>
      <bottom/>
      <diagonal/>
    </border>
    <border>
      <left/>
      <right style="thin">
        <color theme="1" tint="0.14999847407452621"/>
      </right>
      <top style="thin">
        <color indexed="64"/>
      </top>
      <bottom/>
      <diagonal/>
    </border>
    <border>
      <left/>
      <right style="thin">
        <color rgb="FF635AD8"/>
      </right>
      <top/>
      <bottom/>
      <diagonal/>
    </border>
    <border>
      <left style="thin">
        <color indexed="64"/>
      </left>
      <right style="hair">
        <color indexed="64"/>
      </right>
      <top style="thin">
        <color theme="0"/>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theme="0"/>
      </top>
      <bottom style="thin">
        <color indexed="64"/>
      </bottom>
      <diagonal/>
    </border>
    <border>
      <left style="hair">
        <color indexed="64"/>
      </left>
      <right style="hair">
        <color indexed="64"/>
      </right>
      <top style="thin">
        <color theme="0"/>
      </top>
      <bottom style="thin">
        <color indexed="64"/>
      </bottom>
      <diagonal/>
    </border>
    <border>
      <left style="hair">
        <color indexed="64"/>
      </left>
      <right style="hair">
        <color indexed="64"/>
      </right>
      <top style="thin">
        <color indexed="64"/>
      </top>
      <bottom style="thin">
        <color indexed="64"/>
      </bottom>
      <diagonal/>
    </border>
    <border>
      <left/>
      <right/>
      <top style="thin">
        <color theme="0"/>
      </top>
      <bottom style="thin">
        <color theme="6" tint="0.79998168889431442"/>
      </bottom>
      <diagonal/>
    </border>
    <border>
      <left/>
      <right/>
      <top/>
      <bottom style="thin">
        <color theme="6" tint="0.79998168889431442"/>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theme="0"/>
      </top>
      <bottom/>
      <diagonal/>
    </border>
    <border>
      <left style="thin">
        <color indexed="64"/>
      </left>
      <right style="thin">
        <color indexed="64"/>
      </right>
      <top style="thin">
        <color rgb="FFC00000"/>
      </top>
      <bottom style="thin">
        <color indexed="64"/>
      </bottom>
      <diagonal/>
    </border>
    <border>
      <left style="thin">
        <color indexed="64"/>
      </left>
      <right style="thin">
        <color indexed="64"/>
      </right>
      <top style="thin">
        <color rgb="FFC00000"/>
      </top>
      <bottom/>
      <diagonal/>
    </border>
    <border>
      <left/>
      <right style="thick">
        <color rgb="FFFF0000"/>
      </right>
      <top/>
      <bottom style="thin">
        <color theme="2"/>
      </bottom>
      <diagonal/>
    </border>
    <border>
      <left style="thick">
        <color rgb="FFFF0000"/>
      </left>
      <right/>
      <top/>
      <bottom style="thick">
        <color rgb="FFFF0000"/>
      </bottom>
      <diagonal/>
    </border>
    <border>
      <left style="thick">
        <color rgb="FFFF0000"/>
      </left>
      <right/>
      <top style="thin">
        <color theme="0"/>
      </top>
      <bottom/>
      <diagonal/>
    </border>
    <border>
      <left style="thick">
        <color rgb="FFFF0000"/>
      </left>
      <right/>
      <top/>
      <bottom style="thin">
        <color theme="0"/>
      </bottom>
      <diagonal/>
    </border>
    <border>
      <left/>
      <right style="thick">
        <color rgb="FFFF0000"/>
      </right>
      <top/>
      <bottom style="hair">
        <color indexed="64"/>
      </bottom>
      <diagonal/>
    </border>
    <border>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right style="thick">
        <color rgb="FFFF0000"/>
      </right>
      <top style="thin">
        <color indexed="64"/>
      </top>
      <bottom style="thick">
        <color rgb="FFFF0000"/>
      </bottom>
      <diagonal/>
    </border>
    <border>
      <left style="thin">
        <color theme="2"/>
      </left>
      <right/>
      <top style="thick">
        <color rgb="FFFF0000"/>
      </top>
      <bottom/>
      <diagonal/>
    </border>
  </borders>
  <cellStyleXfs count="39">
    <xf numFmtId="0" fontId="0" fillId="0" borderId="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4" fillId="0" borderId="0"/>
    <xf numFmtId="0" fontId="25" fillId="0" borderId="0"/>
    <xf numFmtId="0" fontId="24" fillId="0" borderId="0"/>
    <xf numFmtId="0" fontId="28" fillId="0" borderId="0"/>
    <xf numFmtId="0" fontId="25" fillId="0" borderId="0"/>
    <xf numFmtId="0" fontId="9" fillId="0" borderId="0">
      <alignment vertical="top"/>
    </xf>
    <xf numFmtId="0" fontId="28" fillId="0" borderId="0"/>
    <xf numFmtId="0" fontId="28" fillId="0" borderId="0"/>
    <xf numFmtId="0" fontId="13" fillId="0" borderId="0" applyNumberFormat="0" applyFill="0" applyBorder="0" applyProtection="0">
      <alignment vertical="top" wrapText="1"/>
    </xf>
    <xf numFmtId="0" fontId="15" fillId="0" borderId="0" applyNumberFormat="0" applyFill="0" applyBorder="0" applyProtection="0">
      <alignment vertical="top" wrapText="1"/>
    </xf>
    <xf numFmtId="0" fontId="14" fillId="0" borderId="0" applyNumberFormat="0" applyFill="0" applyBorder="0" applyProtection="0">
      <alignment vertical="top" wrapText="1"/>
    </xf>
    <xf numFmtId="0" fontId="13" fillId="0" borderId="0" applyNumberFormat="0" applyFill="0" applyBorder="0" applyProtection="0">
      <alignment vertical="top" wrapText="1"/>
    </xf>
    <xf numFmtId="0" fontId="15" fillId="0" borderId="0" applyNumberFormat="0" applyFill="0" applyBorder="0" applyProtection="0">
      <alignment vertical="top" wrapText="1"/>
    </xf>
    <xf numFmtId="0" fontId="15" fillId="0" borderId="0" applyNumberFormat="0" applyFill="0" applyBorder="0" applyProtection="0">
      <alignment vertical="top" wrapText="1"/>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9" fontId="24"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cellStyleXfs>
  <cellXfs count="1161">
    <xf numFmtId="0" fontId="0" fillId="0" borderId="0" xfId="0"/>
    <xf numFmtId="0" fontId="30" fillId="4" borderId="0" xfId="0" applyFont="1" applyFill="1" applyAlignment="1">
      <alignment horizontal="center" vertical="center"/>
    </xf>
    <xf numFmtId="0" fontId="30" fillId="4" borderId="0" xfId="0" applyFont="1" applyFill="1"/>
    <xf numFmtId="0" fontId="30" fillId="4" borderId="0" xfId="0" applyFont="1" applyFill="1" applyBorder="1"/>
    <xf numFmtId="0" fontId="30" fillId="4" borderId="0" xfId="0" applyFont="1" applyFill="1" applyAlignment="1">
      <alignment vertical="center"/>
    </xf>
    <xf numFmtId="6" fontId="30" fillId="4" borderId="0" xfId="0" applyNumberFormat="1" applyFont="1" applyFill="1" applyBorder="1" applyAlignment="1">
      <alignment horizontal="center" vertical="center" wrapText="1"/>
    </xf>
    <xf numFmtId="0" fontId="31" fillId="4" borderId="0" xfId="0" applyFont="1" applyFill="1" applyBorder="1" applyAlignment="1">
      <alignment horizontal="center" vertical="center" wrapText="1"/>
    </xf>
    <xf numFmtId="0" fontId="32" fillId="4" borderId="0" xfId="0" applyFont="1" applyFill="1" applyBorder="1" applyAlignment="1">
      <alignment vertical="center" wrapText="1"/>
    </xf>
    <xf numFmtId="0" fontId="32" fillId="4" borderId="0" xfId="0" applyFont="1" applyFill="1" applyBorder="1" applyAlignment="1">
      <alignment vertical="top" wrapText="1"/>
    </xf>
    <xf numFmtId="0" fontId="30" fillId="4" borderId="0" xfId="0" applyFont="1" applyFill="1" applyBorder="1" applyAlignment="1"/>
    <xf numFmtId="0" fontId="33" fillId="4" borderId="0" xfId="0" applyFont="1" applyFill="1" applyBorder="1" applyAlignment="1">
      <alignment vertical="center"/>
    </xf>
    <xf numFmtId="0" fontId="33" fillId="4" borderId="0" xfId="0" applyFont="1" applyFill="1" applyBorder="1" applyAlignment="1">
      <alignment vertical="center" wrapText="1"/>
    </xf>
    <xf numFmtId="0" fontId="0" fillId="3" borderId="0" xfId="0" applyFill="1"/>
    <xf numFmtId="0" fontId="0" fillId="4" borderId="0" xfId="0" applyFill="1"/>
    <xf numFmtId="0" fontId="0" fillId="4" borderId="0" xfId="0" applyFill="1" applyAlignment="1">
      <alignment horizontal="left" vertical="top" wrapText="1"/>
    </xf>
    <xf numFmtId="0" fontId="30" fillId="4" borderId="0" xfId="0" applyFont="1" applyFill="1" applyAlignment="1">
      <alignment horizontal="left" wrapText="1"/>
    </xf>
    <xf numFmtId="0" fontId="0" fillId="4" borderId="0" xfId="0" applyFill="1" applyBorder="1"/>
    <xf numFmtId="0" fontId="35" fillId="4" borderId="0" xfId="0" applyFont="1" applyFill="1" applyBorder="1"/>
    <xf numFmtId="0" fontId="34" fillId="4" borderId="0" xfId="0" applyFont="1" applyFill="1" applyAlignment="1">
      <alignment vertical="center" wrapText="1"/>
    </xf>
    <xf numFmtId="6" fontId="3" fillId="4" borderId="0" xfId="0" applyNumberFormat="1" applyFont="1" applyFill="1" applyBorder="1" applyAlignment="1">
      <alignment horizontal="center" vertical="center" wrapText="1"/>
    </xf>
    <xf numFmtId="0" fontId="32" fillId="4" borderId="0" xfId="0" applyFont="1" applyFill="1" applyBorder="1" applyAlignment="1">
      <alignment horizontal="center" vertical="center" wrapText="1" readingOrder="1"/>
    </xf>
    <xf numFmtId="9" fontId="30" fillId="4" borderId="0" xfId="0" applyNumberFormat="1" applyFont="1" applyFill="1"/>
    <xf numFmtId="164" fontId="30" fillId="4" borderId="0" xfId="0" applyNumberFormat="1" applyFont="1" applyFill="1" applyBorder="1" applyAlignment="1">
      <alignment horizontal="center" vertical="center"/>
    </xf>
    <xf numFmtId="166" fontId="30" fillId="4" borderId="0" xfId="0" applyNumberFormat="1" applyFont="1" applyFill="1" applyBorder="1" applyAlignment="1">
      <alignment horizontal="center" vertical="center"/>
    </xf>
    <xf numFmtId="0" fontId="30" fillId="4" borderId="36" xfId="0" applyFont="1" applyFill="1" applyBorder="1"/>
    <xf numFmtId="0" fontId="10" fillId="4" borderId="0" xfId="0" applyFont="1" applyFill="1" applyBorder="1"/>
    <xf numFmtId="0" fontId="32" fillId="4" borderId="0" xfId="0" applyFont="1" applyFill="1" applyBorder="1" applyAlignment="1">
      <alignment horizontal="center" vertical="top" wrapText="1"/>
    </xf>
    <xf numFmtId="0" fontId="3" fillId="4" borderId="0" xfId="0" applyFont="1" applyFill="1"/>
    <xf numFmtId="0" fontId="31" fillId="4" borderId="0" xfId="0" applyFont="1" applyFill="1" applyBorder="1" applyAlignment="1">
      <alignment vertical="center" wrapText="1"/>
    </xf>
    <xf numFmtId="6" fontId="31" fillId="4" borderId="0" xfId="0" applyNumberFormat="1" applyFont="1" applyFill="1" applyBorder="1" applyAlignment="1">
      <alignment horizontal="center" vertical="center" wrapText="1"/>
    </xf>
    <xf numFmtId="0" fontId="0" fillId="3" borderId="0" xfId="0" applyFill="1" applyAlignment="1">
      <alignment horizontal="center" vertical="center"/>
    </xf>
    <xf numFmtId="0" fontId="0" fillId="3" borderId="0" xfId="0" applyFill="1" applyAlignment="1">
      <alignment horizontal="left" vertical="center"/>
    </xf>
    <xf numFmtId="0" fontId="30" fillId="4" borderId="0" xfId="0" applyFont="1" applyFill="1" applyBorder="1" applyAlignment="1">
      <alignment horizontal="left" wrapText="1"/>
    </xf>
    <xf numFmtId="0" fontId="30" fillId="4" borderId="0" xfId="0" applyFont="1" applyFill="1" applyBorder="1" applyAlignment="1">
      <alignment textRotation="90" wrapText="1"/>
    </xf>
    <xf numFmtId="0" fontId="30" fillId="5" borderId="2" xfId="0" applyFont="1" applyFill="1" applyBorder="1"/>
    <xf numFmtId="0" fontId="36" fillId="5" borderId="2" xfId="0" applyFont="1" applyFill="1" applyBorder="1"/>
    <xf numFmtId="0" fontId="35" fillId="5" borderId="2" xfId="0" applyFont="1" applyFill="1" applyBorder="1"/>
    <xf numFmtId="0" fontId="3" fillId="4" borderId="0" xfId="0" applyFont="1" applyFill="1" applyBorder="1" applyAlignment="1">
      <alignment vertical="center" wrapText="1"/>
    </xf>
    <xf numFmtId="0" fontId="30" fillId="4" borderId="0" xfId="0" applyFont="1" applyFill="1" applyBorder="1" applyAlignment="1">
      <alignment vertical="top" wrapText="1"/>
    </xf>
    <xf numFmtId="164" fontId="30" fillId="4" borderId="0" xfId="0" applyNumberFormat="1" applyFont="1" applyFill="1" applyBorder="1" applyAlignment="1">
      <alignment vertical="center"/>
    </xf>
    <xf numFmtId="165" fontId="37" fillId="6" borderId="3" xfId="0" applyNumberFormat="1" applyFont="1" applyFill="1" applyBorder="1" applyAlignment="1">
      <alignment horizontal="center" vertical="center"/>
    </xf>
    <xf numFmtId="0" fontId="32" fillId="7" borderId="0" xfId="0" applyNumberFormat="1" applyFont="1" applyFill="1" applyBorder="1" applyAlignment="1">
      <alignment horizontal="center" vertical="center" wrapText="1"/>
    </xf>
    <xf numFmtId="165" fontId="37" fillId="8" borderId="3" xfId="0" applyNumberFormat="1" applyFont="1" applyFill="1" applyBorder="1" applyAlignment="1">
      <alignment horizontal="center" vertical="center"/>
    </xf>
    <xf numFmtId="0" fontId="3" fillId="4" borderId="0" xfId="17" applyNumberFormat="1" applyFont="1" applyFill="1" applyBorder="1" applyAlignment="1">
      <alignment horizontal="left" vertical="center" wrapText="1"/>
    </xf>
    <xf numFmtId="0" fontId="2" fillId="2" borderId="0" xfId="17" applyNumberFormat="1" applyFont="1" applyFill="1" applyBorder="1" applyAlignment="1">
      <alignment horizontal="center" vertical="center" wrapText="1"/>
    </xf>
    <xf numFmtId="168" fontId="2" fillId="2" borderId="0" xfId="17" applyNumberFormat="1" applyFont="1" applyFill="1" applyBorder="1" applyAlignment="1">
      <alignment horizontal="center" vertical="center" wrapText="1"/>
    </xf>
    <xf numFmtId="0" fontId="30" fillId="4" borderId="0" xfId="0" applyFont="1" applyFill="1"/>
    <xf numFmtId="0" fontId="30" fillId="4" borderId="0" xfId="0" applyFont="1" applyFill="1" applyBorder="1" applyAlignment="1">
      <alignment horizontal="center" vertical="center" wrapText="1"/>
    </xf>
    <xf numFmtId="0" fontId="30" fillId="4" borderId="0" xfId="0" applyFont="1" applyFill="1"/>
    <xf numFmtId="0" fontId="30" fillId="4" borderId="0" xfId="0" applyFont="1" applyFill="1"/>
    <xf numFmtId="0" fontId="30" fillId="4" borderId="0" xfId="0" applyFont="1" applyFill="1"/>
    <xf numFmtId="0" fontId="3" fillId="4" borderId="0" xfId="0" applyFont="1" applyFill="1" applyAlignment="1">
      <alignment vertical="center"/>
    </xf>
    <xf numFmtId="0" fontId="32" fillId="4" borderId="0" xfId="0" applyFont="1" applyFill="1" applyBorder="1" applyAlignment="1"/>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49" fontId="30" fillId="4" borderId="0" xfId="0" applyNumberFormat="1" applyFont="1" applyFill="1"/>
    <xf numFmtId="0" fontId="30" fillId="4" borderId="0" xfId="0" applyFont="1" applyFill="1"/>
    <xf numFmtId="0" fontId="32" fillId="7" borderId="0" xfId="0" applyNumberFormat="1" applyFont="1" applyFill="1" applyBorder="1" applyAlignment="1">
      <alignment vertical="center" wrapText="1"/>
    </xf>
    <xf numFmtId="0" fontId="34" fillId="4" borderId="0" xfId="0" applyFont="1" applyFill="1" applyBorder="1" applyAlignment="1">
      <alignment vertical="top" wrapText="1"/>
    </xf>
    <xf numFmtId="0" fontId="3" fillId="4" borderId="0" xfId="17" applyNumberFormat="1" applyFont="1" applyFill="1" applyBorder="1" applyAlignment="1">
      <alignment horizontal="left" vertical="center" wrapText="1" indent="1"/>
    </xf>
    <xf numFmtId="3" fontId="2" fillId="4" borderId="0" xfId="17" applyNumberFormat="1" applyFont="1" applyFill="1" applyBorder="1" applyAlignment="1">
      <alignment horizontal="center" vertical="center" wrapText="1"/>
    </xf>
    <xf numFmtId="168" fontId="2" fillId="4" borderId="0" xfId="17" applyNumberFormat="1" applyFont="1" applyFill="1" applyBorder="1" applyAlignment="1">
      <alignment horizontal="center" vertical="center" wrapText="1"/>
    </xf>
    <xf numFmtId="0" fontId="35" fillId="4" borderId="0" xfId="0" applyFont="1" applyFill="1" applyBorder="1" applyAlignment="1">
      <alignment horizontal="left" vertical="center" indent="1"/>
    </xf>
    <xf numFmtId="0" fontId="30" fillId="4" borderId="0" xfId="0" applyFont="1" applyFill="1"/>
    <xf numFmtId="0" fontId="32" fillId="9" borderId="0" xfId="0" applyFont="1" applyFill="1" applyBorder="1" applyAlignment="1">
      <alignment vertical="center"/>
    </xf>
    <xf numFmtId="0" fontId="30" fillId="10" borderId="0" xfId="0" applyFont="1" applyFill="1" applyBorder="1" applyAlignment="1">
      <alignment horizontal="left" vertical="center" wrapText="1" indent="1"/>
    </xf>
    <xf numFmtId="0" fontId="3" fillId="4" borderId="0" xfId="0" applyFont="1" applyFill="1" applyBorder="1" applyAlignment="1">
      <alignment vertical="center"/>
    </xf>
    <xf numFmtId="0" fontId="3" fillId="4" borderId="0" xfId="0" applyFont="1" applyFill="1" applyBorder="1" applyAlignment="1">
      <alignment vertical="top" wrapText="1"/>
    </xf>
    <xf numFmtId="0" fontId="1" fillId="4" borderId="0" xfId="0" applyFont="1" applyFill="1" applyAlignment="1">
      <alignment vertical="center" wrapText="1"/>
    </xf>
    <xf numFmtId="0" fontId="32" fillId="11" borderId="0" xfId="0" applyNumberFormat="1" applyFont="1" applyFill="1" applyBorder="1" applyAlignment="1">
      <alignment horizontal="center" vertical="center"/>
    </xf>
    <xf numFmtId="167" fontId="2" fillId="4" borderId="0" xfId="0" applyNumberFormat="1" applyFont="1" applyFill="1" applyBorder="1" applyAlignment="1">
      <alignment horizontal="center" vertical="center"/>
    </xf>
    <xf numFmtId="0" fontId="2" fillId="4" borderId="0" xfId="0" applyNumberFormat="1" applyFont="1" applyFill="1" applyBorder="1" applyAlignment="1">
      <alignment horizontal="center" vertical="center" wrapText="1"/>
    </xf>
    <xf numFmtId="0" fontId="31" fillId="4" borderId="0" xfId="0" applyFont="1" applyFill="1" applyAlignment="1">
      <alignment horizontal="left" vertical="center" indent="2"/>
    </xf>
    <xf numFmtId="0" fontId="31" fillId="0" borderId="0" xfId="0" applyFont="1" applyBorder="1" applyAlignment="1">
      <alignment horizontal="left" vertical="center" indent="2"/>
    </xf>
    <xf numFmtId="0" fontId="1" fillId="4" borderId="0" xfId="0" applyFont="1" applyFill="1" applyAlignment="1">
      <alignment horizontal="right" vertical="center" wrapText="1"/>
    </xf>
    <xf numFmtId="0" fontId="30" fillId="5" borderId="2" xfId="0" applyFont="1" applyFill="1" applyBorder="1" applyAlignment="1"/>
    <xf numFmtId="0" fontId="38" fillId="4" borderId="0" xfId="0" applyFont="1" applyFill="1" applyBorder="1" applyAlignment="1">
      <alignment vertical="center"/>
    </xf>
    <xf numFmtId="0" fontId="30" fillId="4" borderId="0" xfId="0" applyFont="1" applyFill="1"/>
    <xf numFmtId="0" fontId="30" fillId="4" borderId="0" xfId="0" applyFont="1" applyFill="1" applyBorder="1" applyAlignment="1">
      <alignment vertical="center"/>
    </xf>
    <xf numFmtId="165" fontId="30" fillId="4" borderId="0" xfId="0" applyNumberFormat="1" applyFont="1" applyFill="1" applyBorder="1" applyAlignment="1">
      <alignment horizontal="center" vertical="center"/>
    </xf>
    <xf numFmtId="0" fontId="34" fillId="4" borderId="0" xfId="0" applyFont="1" applyFill="1" applyBorder="1" applyAlignment="1">
      <alignment vertical="center"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5" fillId="4" borderId="0" xfId="0" applyFont="1" applyFill="1" applyBorder="1" applyAlignment="1">
      <alignment horizontal="center" vertical="center" wrapText="1"/>
    </xf>
    <xf numFmtId="0" fontId="30" fillId="4" borderId="0" xfId="0" applyFont="1" applyFill="1"/>
    <xf numFmtId="0" fontId="30" fillId="4" borderId="0" xfId="0" applyFont="1" applyFill="1"/>
    <xf numFmtId="0" fontId="34" fillId="3" borderId="0" xfId="0" applyFont="1" applyFill="1" applyAlignment="1">
      <alignment vertical="top" wrapText="1"/>
    </xf>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0" fillId="4" borderId="0" xfId="0" applyFill="1" applyBorder="1" applyAlignment="1">
      <alignment vertical="center"/>
    </xf>
    <xf numFmtId="6" fontId="30" fillId="4" borderId="0" xfId="0" applyNumberFormat="1" applyFont="1" applyFill="1" applyBorder="1" applyAlignment="1">
      <alignment vertical="center"/>
    </xf>
    <xf numFmtId="0" fontId="10" fillId="4" borderId="0" xfId="0" applyFont="1" applyFill="1" applyBorder="1" applyAlignment="1">
      <alignment vertical="center"/>
    </xf>
    <xf numFmtId="0" fontId="30" fillId="4" borderId="0" xfId="0" applyFont="1" applyFill="1"/>
    <xf numFmtId="0" fontId="30" fillId="4" borderId="0" xfId="0" applyFont="1" applyFill="1"/>
    <xf numFmtId="0" fontId="32" fillId="4" borderId="0" xfId="0" applyFont="1" applyFill="1" applyBorder="1" applyAlignment="1">
      <alignment horizontal="center" vertical="center"/>
    </xf>
    <xf numFmtId="0" fontId="30" fillId="4" borderId="0" xfId="0" applyFont="1" applyFill="1"/>
    <xf numFmtId="0" fontId="39" fillId="4" borderId="0" xfId="0" applyFont="1" applyFill="1"/>
    <xf numFmtId="0" fontId="40" fillId="4" borderId="0" xfId="0" applyFont="1" applyFill="1"/>
    <xf numFmtId="0" fontId="39" fillId="4" borderId="0" xfId="0" applyFont="1" applyFill="1" applyBorder="1"/>
    <xf numFmtId="0" fontId="36" fillId="5" borderId="2" xfId="0" applyFont="1" applyFill="1" applyBorder="1" applyAlignment="1"/>
    <xf numFmtId="0" fontId="4" fillId="4" borderId="0" xfId="0" applyFont="1" applyFill="1" applyAlignment="1">
      <alignment wrapText="1"/>
    </xf>
    <xf numFmtId="0" fontId="30" fillId="4" borderId="0" xfId="0" applyFont="1" applyFill="1"/>
    <xf numFmtId="0" fontId="30" fillId="4" borderId="0" xfId="0" applyFont="1" applyFill="1"/>
    <xf numFmtId="0" fontId="41" fillId="4" borderId="0" xfId="0" applyFont="1" applyFill="1" applyBorder="1"/>
    <xf numFmtId="0" fontId="41" fillId="4" borderId="0" xfId="0" applyFont="1" applyFill="1" applyBorder="1" applyAlignment="1">
      <alignment horizontal="left" vertical="center" wrapText="1" indent="1"/>
    </xf>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42" fillId="4" borderId="0" xfId="11" applyFont="1" applyFill="1" applyBorder="1" applyAlignment="1">
      <alignment horizontal="left" indent="1"/>
    </xf>
    <xf numFmtId="49" fontId="42" fillId="4" borderId="0" xfId="8" applyNumberFormat="1" applyFont="1" applyFill="1" applyBorder="1" applyAlignment="1">
      <alignment horizontal="center"/>
    </xf>
    <xf numFmtId="0" fontId="30" fillId="4" borderId="0" xfId="0" applyFont="1" applyFill="1" applyBorder="1"/>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31" fillId="4" borderId="0" xfId="0" applyFont="1" applyFill="1" applyBorder="1" applyAlignment="1">
      <alignment horizontal="left" vertical="center" indent="2"/>
    </xf>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32" fillId="9" borderId="36" xfId="0" applyFont="1" applyFill="1" applyBorder="1" applyAlignment="1">
      <alignment horizontal="center" vertical="center"/>
    </xf>
    <xf numFmtId="0" fontId="32" fillId="9" borderId="0" xfId="0" applyFont="1" applyFill="1" applyBorder="1" applyAlignment="1">
      <alignment horizontal="center" vertical="center" wrapText="1"/>
    </xf>
    <xf numFmtId="0" fontId="30" fillId="4" borderId="0" xfId="0" applyFont="1" applyFill="1" applyBorder="1" applyAlignment="1">
      <alignment horizontal="left" vertical="center" wrapText="1" indent="1"/>
    </xf>
    <xf numFmtId="0" fontId="30" fillId="4" borderId="0" xfId="0" applyFont="1" applyFill="1" applyBorder="1" applyAlignment="1">
      <alignment horizontal="left" vertical="center" indent="1"/>
    </xf>
    <xf numFmtId="0" fontId="32" fillId="4" borderId="0" xfId="0" applyFont="1" applyFill="1" applyBorder="1" applyAlignment="1">
      <alignment horizontal="center" vertical="center" wrapText="1"/>
    </xf>
    <xf numFmtId="0" fontId="30" fillId="4" borderId="0" xfId="0" applyFont="1" applyFill="1"/>
    <xf numFmtId="3" fontId="2" fillId="12" borderId="0" xfId="0" applyNumberFormat="1" applyFont="1" applyFill="1" applyBorder="1" applyAlignment="1">
      <alignment horizontal="center" vertical="center"/>
    </xf>
    <xf numFmtId="3" fontId="30" fillId="4" borderId="0" xfId="0" applyNumberFormat="1" applyFont="1" applyFill="1" applyBorder="1" applyAlignment="1">
      <alignment horizontal="center" vertical="center"/>
    </xf>
    <xf numFmtId="165" fontId="2" fillId="6" borderId="0" xfId="0" applyNumberFormat="1" applyFont="1" applyFill="1" applyBorder="1" applyAlignment="1">
      <alignment horizontal="center" vertical="center"/>
    </xf>
    <xf numFmtId="0" fontId="37" fillId="6" borderId="0" xfId="0" applyNumberFormat="1" applyFont="1" applyFill="1" applyBorder="1" applyAlignment="1">
      <alignment horizontal="center" vertical="center"/>
    </xf>
    <xf numFmtId="165" fontId="37" fillId="6" borderId="0" xfId="0" applyNumberFormat="1" applyFont="1" applyFill="1" applyBorder="1" applyAlignment="1">
      <alignment horizontal="center" vertical="center"/>
    </xf>
    <xf numFmtId="165" fontId="37" fillId="8" borderId="0" xfId="0" applyNumberFormat="1" applyFont="1" applyFill="1" applyBorder="1" applyAlignment="1">
      <alignment horizontal="center" vertical="center"/>
    </xf>
    <xf numFmtId="0" fontId="31" fillId="4" borderId="0" xfId="0" applyFont="1" applyFill="1" applyBorder="1" applyAlignment="1">
      <alignment horizontal="center" vertical="center" wrapText="1" readingOrder="1"/>
    </xf>
    <xf numFmtId="3" fontId="30" fillId="4" borderId="0" xfId="0" applyNumberFormat="1" applyFont="1" applyFill="1" applyBorder="1" applyAlignment="1">
      <alignment horizontal="center" vertical="center" readingOrder="1"/>
    </xf>
    <xf numFmtId="6" fontId="30" fillId="7" borderId="0" xfId="0" applyNumberFormat="1" applyFont="1" applyFill="1" applyBorder="1" applyAlignment="1">
      <alignment horizontal="center" vertical="center" readingOrder="1"/>
    </xf>
    <xf numFmtId="6" fontId="30" fillId="4" borderId="0" xfId="0" applyNumberFormat="1" applyFont="1" applyFill="1" applyBorder="1" applyAlignment="1">
      <alignment horizontal="center" vertical="center" readingOrder="1"/>
    </xf>
    <xf numFmtId="0" fontId="44" fillId="4" borderId="0" xfId="0" applyFont="1" applyFill="1"/>
    <xf numFmtId="0" fontId="30" fillId="4" borderId="0" xfId="0" applyFont="1" applyFill="1"/>
    <xf numFmtId="0" fontId="32" fillId="11" borderId="0" xfId="0" applyNumberFormat="1" applyFont="1" applyFill="1" applyBorder="1" applyAlignment="1">
      <alignment vertical="center"/>
    </xf>
    <xf numFmtId="0" fontId="30" fillId="4" borderId="0" xfId="0" applyFont="1" applyFill="1"/>
    <xf numFmtId="0" fontId="34" fillId="0" borderId="0" xfId="0" applyFont="1" applyFill="1" applyBorder="1" applyAlignment="1">
      <alignment horizontal="center" vertical="center" textRotation="90"/>
    </xf>
    <xf numFmtId="0" fontId="34" fillId="13" borderId="0" xfId="0" applyNumberFormat="1" applyFont="1" applyFill="1"/>
    <xf numFmtId="49" fontId="34" fillId="13" borderId="0" xfId="0" applyNumberFormat="1" applyFont="1" applyFill="1"/>
    <xf numFmtId="0" fontId="17" fillId="13" borderId="0" xfId="0" applyFont="1" applyFill="1"/>
    <xf numFmtId="0" fontId="34" fillId="13" borderId="0" xfId="0" applyFont="1" applyFill="1" applyBorder="1" applyAlignment="1">
      <alignment horizontal="left" vertical="center" wrapText="1" indent="1"/>
    </xf>
    <xf numFmtId="0" fontId="34" fillId="13" borderId="0" xfId="0" applyFont="1" applyFill="1" applyBorder="1" applyAlignment="1">
      <alignment horizontal="left" vertical="center" indent="1"/>
    </xf>
    <xf numFmtId="165" fontId="34" fillId="13" borderId="0" xfId="0" applyNumberFormat="1" applyFont="1" applyFill="1" applyBorder="1" applyAlignment="1">
      <alignment horizontal="center" vertical="center"/>
    </xf>
    <xf numFmtId="0" fontId="47" fillId="13" borderId="0" xfId="0" applyFont="1" applyFill="1"/>
    <xf numFmtId="0" fontId="30" fillId="4" borderId="0" xfId="0" applyFont="1" applyFill="1"/>
    <xf numFmtId="0" fontId="34" fillId="13" borderId="0" xfId="0" applyFont="1" applyFill="1"/>
    <xf numFmtId="0" fontId="16" fillId="13" borderId="0" xfId="0" applyFont="1" applyFill="1"/>
    <xf numFmtId="49" fontId="34" fillId="13" borderId="38" xfId="0" applyNumberFormat="1" applyFont="1" applyFill="1" applyBorder="1"/>
    <xf numFmtId="0" fontId="34" fillId="13" borderId="38" xfId="0" applyFont="1" applyFill="1" applyBorder="1"/>
    <xf numFmtId="0" fontId="30" fillId="13" borderId="0" xfId="0" applyFont="1" applyFill="1"/>
    <xf numFmtId="0" fontId="30" fillId="13" borderId="39" xfId="0" applyFont="1" applyFill="1" applyBorder="1"/>
    <xf numFmtId="0" fontId="34" fillId="13" borderId="39" xfId="0" applyFont="1" applyFill="1" applyBorder="1"/>
    <xf numFmtId="0" fontId="30" fillId="13" borderId="38" xfId="0" applyFont="1" applyFill="1" applyBorder="1"/>
    <xf numFmtId="0" fontId="34" fillId="9" borderId="0" xfId="0" applyFont="1" applyFill="1"/>
    <xf numFmtId="0" fontId="45" fillId="9" borderId="37" xfId="0" applyFont="1" applyFill="1" applyBorder="1" applyAlignment="1">
      <alignment vertical="center" wrapText="1" readingOrder="1"/>
    </xf>
    <xf numFmtId="0" fontId="30" fillId="4" borderId="0" xfId="0" applyFont="1" applyFill="1"/>
    <xf numFmtId="0" fontId="34" fillId="4" borderId="40" xfId="0" applyFont="1" applyFill="1" applyBorder="1" applyAlignment="1">
      <alignment horizontal="center" vertical="center" wrapText="1"/>
    </xf>
    <xf numFmtId="0" fontId="34" fillId="4" borderId="4" xfId="0" applyFont="1" applyFill="1" applyBorder="1" applyAlignment="1">
      <alignment horizontal="center" vertical="center" wrapText="1"/>
    </xf>
    <xf numFmtId="0" fontId="34" fillId="4" borderId="5" xfId="0" applyFont="1" applyFill="1" applyBorder="1" applyAlignment="1">
      <alignment horizontal="center" vertical="center" wrapText="1"/>
    </xf>
    <xf numFmtId="169" fontId="34" fillId="4" borderId="41" xfId="0" applyNumberFormat="1" applyFont="1" applyFill="1" applyBorder="1" applyAlignment="1">
      <alignment horizontal="center" vertical="center"/>
    </xf>
    <xf numFmtId="169" fontId="34" fillId="13" borderId="42" xfId="0" applyNumberFormat="1" applyFont="1" applyFill="1" applyBorder="1" applyAlignment="1">
      <alignment horizontal="center" vertical="center"/>
    </xf>
    <xf numFmtId="169" fontId="34" fillId="13" borderId="7" xfId="0" applyNumberFormat="1" applyFont="1" applyFill="1" applyBorder="1" applyAlignment="1">
      <alignment horizontal="center" vertical="center"/>
    </xf>
    <xf numFmtId="170" fontId="19" fillId="4" borderId="8" xfId="1" applyNumberFormat="1" applyFont="1" applyFill="1" applyBorder="1" applyAlignment="1">
      <alignment horizontal="center" vertical="center"/>
    </xf>
    <xf numFmtId="170" fontId="19" fillId="4" borderId="9" xfId="1" applyNumberFormat="1" applyFont="1" applyFill="1" applyBorder="1" applyAlignment="1">
      <alignment horizontal="center" vertical="center"/>
    </xf>
    <xf numFmtId="170" fontId="19" fillId="4" borderId="4" xfId="1" applyNumberFormat="1" applyFont="1" applyFill="1" applyBorder="1" applyAlignment="1">
      <alignment horizontal="center" vertical="center"/>
    </xf>
    <xf numFmtId="170" fontId="19" fillId="4" borderId="10" xfId="1" applyNumberFormat="1" applyFont="1" applyFill="1" applyBorder="1" applyAlignment="1">
      <alignment horizontal="center" vertical="center"/>
    </xf>
    <xf numFmtId="0" fontId="30" fillId="13" borderId="0" xfId="0" applyFont="1" applyFill="1" applyBorder="1"/>
    <xf numFmtId="169" fontId="47" fillId="4" borderId="11" xfId="0" applyNumberFormat="1" applyFont="1" applyFill="1" applyBorder="1" applyAlignment="1">
      <alignment horizontal="center" vertical="center"/>
    </xf>
    <xf numFmtId="169" fontId="47" fillId="4" borderId="1" xfId="0" applyNumberFormat="1" applyFont="1" applyFill="1" applyBorder="1" applyAlignment="1">
      <alignment horizontal="center" vertical="center"/>
    </xf>
    <xf numFmtId="169" fontId="47" fillId="4" borderId="12" xfId="0" applyNumberFormat="1" applyFont="1" applyFill="1" applyBorder="1" applyAlignment="1">
      <alignment horizontal="center" vertical="center"/>
    </xf>
    <xf numFmtId="0" fontId="30" fillId="4" borderId="0" xfId="0" applyFont="1" applyFill="1"/>
    <xf numFmtId="169" fontId="34" fillId="4" borderId="8" xfId="0" applyNumberFormat="1" applyFont="1" applyFill="1" applyBorder="1" applyAlignment="1">
      <alignment horizontal="center" vertical="center"/>
    </xf>
    <xf numFmtId="169" fontId="34" fillId="4" borderId="9" xfId="0" applyNumberFormat="1" applyFont="1" applyFill="1" applyBorder="1" applyAlignment="1">
      <alignment horizontal="center" vertical="center"/>
    </xf>
    <xf numFmtId="169" fontId="34" fillId="4" borderId="14" xfId="0" applyNumberFormat="1" applyFont="1" applyFill="1" applyBorder="1" applyAlignment="1">
      <alignment horizontal="center" vertical="center"/>
    </xf>
    <xf numFmtId="0" fontId="30" fillId="4" borderId="0" xfId="0" applyFont="1" applyFill="1"/>
    <xf numFmtId="0" fontId="30" fillId="4" borderId="1" xfId="0" applyFont="1" applyFill="1" applyBorder="1"/>
    <xf numFmtId="0" fontId="34" fillId="4" borderId="0" xfId="0" applyFont="1" applyFill="1" applyAlignment="1">
      <alignment wrapText="1"/>
    </xf>
    <xf numFmtId="0" fontId="34" fillId="4" borderId="0" xfId="0" applyFont="1" applyFill="1" applyBorder="1" applyAlignment="1">
      <alignment horizontal="left" vertical="center" wrapText="1"/>
    </xf>
    <xf numFmtId="0" fontId="34" fillId="4" borderId="9" xfId="0" applyFont="1" applyFill="1" applyBorder="1" applyAlignment="1">
      <alignment horizontal="left" vertical="center" wrapText="1" indent="1"/>
    </xf>
    <xf numFmtId="0" fontId="34" fillId="4" borderId="8" xfId="0" applyFont="1" applyFill="1" applyBorder="1" applyAlignment="1">
      <alignment horizontal="left" vertical="center" wrapText="1" indent="1"/>
    </xf>
    <xf numFmtId="0" fontId="34" fillId="4" borderId="5" xfId="0" applyFont="1" applyFill="1" applyBorder="1" applyAlignment="1">
      <alignment horizontal="left" vertical="center" wrapText="1" indent="1"/>
    </xf>
    <xf numFmtId="0" fontId="16" fillId="4" borderId="0" xfId="0" applyFont="1" applyFill="1"/>
    <xf numFmtId="0" fontId="47" fillId="4" borderId="0" xfId="0" applyFont="1" applyFill="1"/>
    <xf numFmtId="0" fontId="48" fillId="7" borderId="15" xfId="0" applyNumberFormat="1" applyFont="1" applyFill="1" applyBorder="1" applyAlignment="1">
      <alignment horizontal="center" vertical="center" wrapText="1"/>
    </xf>
    <xf numFmtId="165" fontId="34" fillId="4" borderId="0" xfId="0" applyNumberFormat="1" applyFont="1" applyFill="1" applyBorder="1" applyAlignment="1">
      <alignment horizontal="center" vertical="center"/>
    </xf>
    <xf numFmtId="0" fontId="45" fillId="9" borderId="0" xfId="0" applyFont="1" applyFill="1" applyBorder="1" applyAlignment="1">
      <alignment horizontal="left" vertical="center" wrapText="1" indent="1" readingOrder="1"/>
    </xf>
    <xf numFmtId="0" fontId="34" fillId="4" borderId="15" xfId="0" applyFont="1" applyFill="1" applyBorder="1" applyAlignment="1">
      <alignment horizontal="left" vertical="center" wrapText="1" indent="1"/>
    </xf>
    <xf numFmtId="0" fontId="34" fillId="4" borderId="14" xfId="0" applyFont="1" applyFill="1" applyBorder="1" applyAlignment="1">
      <alignment horizontal="left" vertical="center" wrapText="1" indent="1"/>
    </xf>
    <xf numFmtId="0" fontId="47" fillId="4" borderId="12" xfId="11" applyFont="1" applyFill="1" applyBorder="1" applyAlignment="1">
      <alignment horizontal="left" indent="1"/>
    </xf>
    <xf numFmtId="0" fontId="47" fillId="4" borderId="7" xfId="11" applyFont="1" applyFill="1" applyBorder="1" applyAlignment="1">
      <alignment horizontal="left" indent="1"/>
    </xf>
    <xf numFmtId="0" fontId="47" fillId="4" borderId="11" xfId="11" applyFont="1" applyFill="1" applyBorder="1" applyAlignment="1">
      <alignment horizontal="left" indent="1"/>
    </xf>
    <xf numFmtId="0" fontId="34" fillId="4" borderId="14" xfId="0" applyFont="1" applyFill="1" applyBorder="1" applyAlignment="1">
      <alignment horizontal="center" vertical="center"/>
    </xf>
    <xf numFmtId="0" fontId="34" fillId="4" borderId="45" xfId="0" applyFont="1" applyFill="1" applyBorder="1" applyAlignment="1">
      <alignment horizontal="left" vertical="center" wrapText="1" indent="1"/>
    </xf>
    <xf numFmtId="0" fontId="19" fillId="4" borderId="9" xfId="0" applyFont="1" applyFill="1" applyBorder="1" applyAlignment="1">
      <alignment horizontal="left" vertical="center" indent="1"/>
    </xf>
    <xf numFmtId="0" fontId="19" fillId="4" borderId="10" xfId="0" applyFont="1" applyFill="1" applyBorder="1" applyAlignment="1">
      <alignment horizontal="left" vertical="center" indent="1"/>
    </xf>
    <xf numFmtId="0" fontId="50" fillId="4" borderId="0" xfId="0" applyFont="1" applyFill="1"/>
    <xf numFmtId="0" fontId="34" fillId="4" borderId="0" xfId="0" applyFont="1" applyFill="1" applyAlignment="1">
      <alignment horizontal="left"/>
    </xf>
    <xf numFmtId="0" fontId="51" fillId="10" borderId="0" xfId="0" applyFont="1" applyFill="1" applyAlignment="1">
      <alignment vertical="center"/>
    </xf>
    <xf numFmtId="0" fontId="47" fillId="4" borderId="8" xfId="0" applyFont="1" applyFill="1" applyBorder="1" applyAlignment="1">
      <alignment horizontal="center" vertical="center"/>
    </xf>
    <xf numFmtId="0" fontId="52" fillId="14" borderId="47" xfId="0" applyFont="1" applyFill="1" applyBorder="1" applyAlignment="1">
      <alignment horizontal="center" vertical="center"/>
    </xf>
    <xf numFmtId="0" fontId="16" fillId="4" borderId="0" xfId="0" applyFont="1" applyFill="1" applyBorder="1" applyAlignment="1">
      <alignment horizontal="left" vertical="center"/>
    </xf>
    <xf numFmtId="0" fontId="52" fillId="9" borderId="0" xfId="8" applyNumberFormat="1" applyFont="1" applyFill="1" applyBorder="1" applyAlignment="1">
      <alignment horizontal="center" vertical="center"/>
    </xf>
    <xf numFmtId="0" fontId="52" fillId="9" borderId="36" xfId="8" applyNumberFormat="1" applyFont="1" applyFill="1" applyBorder="1" applyAlignment="1">
      <alignment horizontal="center" vertical="center"/>
    </xf>
    <xf numFmtId="0" fontId="16" fillId="4" borderId="0" xfId="0" applyFont="1" applyFill="1" applyBorder="1" applyAlignment="1">
      <alignment vertical="center"/>
    </xf>
    <xf numFmtId="6" fontId="53" fillId="4" borderId="0" xfId="0" applyNumberFormat="1" applyFont="1" applyFill="1" applyBorder="1" applyAlignment="1">
      <alignment horizontal="center" vertical="center"/>
    </xf>
    <xf numFmtId="6" fontId="19" fillId="4" borderId="0" xfId="0" applyNumberFormat="1" applyFont="1" applyFill="1" applyBorder="1" applyAlignment="1">
      <alignment horizontal="center" vertical="center"/>
    </xf>
    <xf numFmtId="0" fontId="19" fillId="4" borderId="0" xfId="0" applyFont="1" applyFill="1" applyBorder="1" applyAlignment="1">
      <alignment horizontal="left" vertical="center" indent="1"/>
    </xf>
    <xf numFmtId="0" fontId="19" fillId="4" borderId="8" xfId="0" applyFont="1" applyFill="1" applyBorder="1" applyAlignment="1">
      <alignment horizontal="left" vertical="center" indent="1"/>
    </xf>
    <xf numFmtId="0" fontId="30" fillId="4" borderId="0" xfId="0" applyFont="1" applyFill="1"/>
    <xf numFmtId="169" fontId="34" fillId="4" borderId="16" xfId="0" applyNumberFormat="1" applyFont="1" applyFill="1" applyBorder="1" applyAlignment="1">
      <alignment horizontal="center" vertical="center"/>
    </xf>
    <xf numFmtId="169" fontId="19" fillId="4" borderId="4" xfId="0" applyNumberFormat="1" applyFont="1" applyFill="1" applyBorder="1" applyAlignment="1">
      <alignment horizontal="center" vertical="center"/>
    </xf>
    <xf numFmtId="169" fontId="19" fillId="4" borderId="9" xfId="0" applyNumberFormat="1" applyFont="1" applyFill="1" applyBorder="1" applyAlignment="1">
      <alignment horizontal="center" vertical="center"/>
    </xf>
    <xf numFmtId="169" fontId="34" fillId="4" borderId="4" xfId="0" applyNumberFormat="1" applyFont="1" applyFill="1" applyBorder="1" applyAlignment="1">
      <alignment horizontal="center" vertical="center"/>
    </xf>
    <xf numFmtId="169" fontId="19" fillId="4" borderId="5" xfId="0" applyNumberFormat="1" applyFont="1" applyFill="1" applyBorder="1" applyAlignment="1">
      <alignment horizontal="center" vertical="center"/>
    </xf>
    <xf numFmtId="169" fontId="34" fillId="4" borderId="5" xfId="0" applyNumberFormat="1" applyFont="1" applyFill="1" applyBorder="1" applyAlignment="1">
      <alignment horizontal="center" vertical="center"/>
    </xf>
    <xf numFmtId="169" fontId="34" fillId="4" borderId="10" xfId="0" applyNumberFormat="1" applyFont="1" applyFill="1" applyBorder="1" applyAlignment="1">
      <alignment horizontal="center" vertical="center"/>
    </xf>
    <xf numFmtId="169" fontId="19" fillId="4" borderId="8" xfId="0" applyNumberFormat="1" applyFont="1" applyFill="1" applyBorder="1" applyAlignment="1">
      <alignment horizontal="center" vertical="center"/>
    </xf>
    <xf numFmtId="169" fontId="19" fillId="4" borderId="10" xfId="0" applyNumberFormat="1" applyFont="1" applyFill="1" applyBorder="1" applyAlignment="1">
      <alignment horizontal="center" vertical="center"/>
    </xf>
    <xf numFmtId="169" fontId="19" fillId="4" borderId="15" xfId="0" applyNumberFormat="1" applyFont="1" applyFill="1" applyBorder="1" applyAlignment="1">
      <alignment horizontal="center" vertical="center"/>
    </xf>
    <xf numFmtId="172" fontId="19" fillId="4" borderId="14" xfId="35" applyNumberFormat="1" applyFont="1" applyFill="1" applyBorder="1" applyAlignment="1">
      <alignment horizontal="center" vertical="center"/>
    </xf>
    <xf numFmtId="172" fontId="19" fillId="4" borderId="9" xfId="35" applyNumberFormat="1" applyFont="1" applyFill="1" applyBorder="1" applyAlignment="1">
      <alignment horizontal="center" vertical="center"/>
    </xf>
    <xf numFmtId="172" fontId="19" fillId="4" borderId="5" xfId="35" applyNumberFormat="1" applyFont="1" applyFill="1" applyBorder="1" applyAlignment="1">
      <alignment horizontal="center" vertical="center"/>
    </xf>
    <xf numFmtId="0" fontId="47" fillId="4" borderId="0" xfId="11" applyFont="1" applyFill="1" applyBorder="1" applyAlignment="1">
      <alignment horizontal="left" indent="1"/>
    </xf>
    <xf numFmtId="169" fontId="47" fillId="4" borderId="0" xfId="8" applyNumberFormat="1" applyFont="1" applyFill="1" applyBorder="1" applyAlignment="1">
      <alignment horizontal="center"/>
    </xf>
    <xf numFmtId="0" fontId="34" fillId="4" borderId="49" xfId="0" applyFont="1" applyFill="1" applyBorder="1" applyAlignment="1">
      <alignment horizontal="center" vertical="center" textRotation="90"/>
    </xf>
    <xf numFmtId="0" fontId="30" fillId="4" borderId="49" xfId="0" applyFont="1" applyFill="1" applyBorder="1"/>
    <xf numFmtId="169" fontId="34" fillId="4" borderId="0" xfId="8" applyNumberFormat="1" applyFont="1" applyFill="1" applyBorder="1" applyAlignment="1">
      <alignment horizontal="center"/>
    </xf>
    <xf numFmtId="0" fontId="34" fillId="4" borderId="0" xfId="11" applyFont="1" applyFill="1" applyBorder="1" applyAlignment="1">
      <alignment horizontal="left" indent="1"/>
    </xf>
    <xf numFmtId="0" fontId="30" fillId="4" borderId="0" xfId="0" applyFont="1" applyFill="1"/>
    <xf numFmtId="165" fontId="41" fillId="4" borderId="0" xfId="8" applyNumberFormat="1" applyFont="1" applyFill="1" applyBorder="1" applyAlignment="1"/>
    <xf numFmtId="0" fontId="34" fillId="4" borderId="0" xfId="0" applyFont="1" applyFill="1" applyAlignment="1">
      <alignment vertical="center"/>
    </xf>
    <xf numFmtId="169" fontId="16" fillId="6" borderId="14" xfId="0" applyNumberFormat="1" applyFont="1" applyFill="1" applyBorder="1" applyAlignment="1">
      <alignment horizontal="center" vertical="center"/>
    </xf>
    <xf numFmtId="0" fontId="30" fillId="4" borderId="0" xfId="0" applyFont="1" applyFill="1"/>
    <xf numFmtId="0" fontId="34" fillId="4" borderId="0" xfId="0" applyFont="1" applyFill="1" applyBorder="1" applyAlignment="1">
      <alignment horizontal="left" vertical="center" indent="1"/>
    </xf>
    <xf numFmtId="0" fontId="54" fillId="9" borderId="50" xfId="0" applyFont="1" applyFill="1" applyBorder="1" applyAlignment="1">
      <alignment horizontal="center" vertical="center" wrapText="1" readingOrder="1"/>
    </xf>
    <xf numFmtId="0" fontId="21" fillId="15" borderId="51" xfId="0" applyFont="1" applyFill="1" applyBorder="1" applyAlignment="1">
      <alignment horizontal="center" vertical="center" wrapText="1"/>
    </xf>
    <xf numFmtId="0" fontId="34" fillId="4" borderId="0" xfId="0" applyFont="1" applyFill="1" applyBorder="1" applyAlignment="1">
      <alignment horizontal="center" vertical="center"/>
    </xf>
    <xf numFmtId="0" fontId="16" fillId="4" borderId="0" xfId="0" applyFont="1" applyFill="1" applyAlignment="1">
      <alignment horizontal="left" vertical="center"/>
    </xf>
    <xf numFmtId="0" fontId="34" fillId="4" borderId="0" xfId="0" applyFont="1" applyFill="1" applyAlignment="1">
      <alignment horizontal="left" vertical="center"/>
    </xf>
    <xf numFmtId="0" fontId="19" fillId="4" borderId="9" xfId="0" applyNumberFormat="1" applyFont="1" applyFill="1" applyBorder="1" applyAlignment="1">
      <alignment horizontal="center" vertical="center"/>
    </xf>
    <xf numFmtId="49" fontId="19" fillId="4" borderId="16" xfId="0" applyNumberFormat="1" applyFont="1" applyFill="1" applyBorder="1" applyAlignment="1">
      <alignment horizontal="center" vertical="center"/>
    </xf>
    <xf numFmtId="0" fontId="34" fillId="4" borderId="3" xfId="0" applyFont="1" applyFill="1" applyBorder="1" applyAlignment="1">
      <alignment horizontal="left" vertical="center" indent="1"/>
    </xf>
    <xf numFmtId="0" fontId="34" fillId="4" borderId="1" xfId="0" applyFont="1" applyFill="1" applyBorder="1" applyAlignment="1">
      <alignment horizontal="right" vertical="center" indent="1"/>
    </xf>
    <xf numFmtId="49" fontId="34" fillId="4" borderId="16" xfId="0" applyNumberFormat="1" applyFont="1" applyFill="1" applyBorder="1" applyAlignment="1">
      <alignment horizontal="center" vertical="center"/>
    </xf>
    <xf numFmtId="49" fontId="34" fillId="4" borderId="8" xfId="0" applyNumberFormat="1" applyFont="1" applyFill="1" applyBorder="1" applyAlignment="1">
      <alignment horizontal="center" vertical="center"/>
    </xf>
    <xf numFmtId="49" fontId="34" fillId="4" borderId="9" xfId="0" applyNumberFormat="1" applyFont="1" applyFill="1" applyBorder="1" applyAlignment="1">
      <alignment horizontal="center" vertical="center"/>
    </xf>
    <xf numFmtId="49" fontId="34" fillId="4" borderId="4" xfId="0" applyNumberFormat="1" applyFont="1" applyFill="1" applyBorder="1" applyAlignment="1">
      <alignment horizontal="center" vertical="center"/>
    </xf>
    <xf numFmtId="10" fontId="19" fillId="4" borderId="9" xfId="0" applyNumberFormat="1" applyFont="1" applyFill="1" applyBorder="1" applyAlignment="1">
      <alignment horizontal="center" vertical="center"/>
    </xf>
    <xf numFmtId="49" fontId="34" fillId="4" borderId="5" xfId="0" applyNumberFormat="1" applyFont="1" applyFill="1" applyBorder="1" applyAlignment="1">
      <alignment horizontal="center" vertical="center"/>
    </xf>
    <xf numFmtId="49" fontId="34" fillId="4" borderId="0" xfId="0" applyNumberFormat="1" applyFont="1" applyFill="1" applyBorder="1" applyAlignment="1">
      <alignment horizontal="center" vertical="center"/>
    </xf>
    <xf numFmtId="0" fontId="22" fillId="0" borderId="10" xfId="0" applyFont="1" applyBorder="1" applyAlignment="1">
      <alignment horizontal="center" vertical="center"/>
    </xf>
    <xf numFmtId="0" fontId="22" fillId="0" borderId="15" xfId="0" applyFont="1" applyBorder="1" applyAlignment="1">
      <alignment horizontal="center" vertical="center"/>
    </xf>
    <xf numFmtId="0" fontId="22" fillId="0" borderId="15" xfId="0" applyFont="1" applyBorder="1" applyAlignment="1">
      <alignment horizontal="center" vertical="center" wrapText="1"/>
    </xf>
    <xf numFmtId="0" fontId="22" fillId="0" borderId="20" xfId="0" applyFont="1" applyBorder="1" applyAlignment="1">
      <alignment horizontal="center" vertical="center" wrapText="1"/>
    </xf>
    <xf numFmtId="170" fontId="19" fillId="4" borderId="10" xfId="0" applyNumberFormat="1" applyFont="1" applyFill="1" applyBorder="1" applyAlignment="1">
      <alignment horizontal="center" vertical="center"/>
    </xf>
    <xf numFmtId="0" fontId="45" fillId="15" borderId="52" xfId="0" applyFont="1" applyFill="1" applyBorder="1" applyAlignment="1">
      <alignment horizontal="center" vertical="center"/>
    </xf>
    <xf numFmtId="0" fontId="45" fillId="15" borderId="53" xfId="0" applyFont="1" applyFill="1" applyBorder="1" applyAlignment="1">
      <alignment horizontal="center" vertical="center" wrapText="1"/>
    </xf>
    <xf numFmtId="0" fontId="45" fillId="15" borderId="54" xfId="0" applyFont="1" applyFill="1" applyBorder="1" applyAlignment="1">
      <alignment horizontal="center" vertical="center"/>
    </xf>
    <xf numFmtId="0" fontId="52" fillId="9" borderId="46" xfId="0" applyFont="1" applyFill="1" applyBorder="1" applyAlignment="1">
      <alignment horizontal="left" vertical="center" indent="1"/>
    </xf>
    <xf numFmtId="0" fontId="52" fillId="9" borderId="56" xfId="0" applyFont="1" applyFill="1" applyBorder="1" applyAlignment="1">
      <alignment horizontal="left" vertical="center" indent="1"/>
    </xf>
    <xf numFmtId="0" fontId="19" fillId="13" borderId="26" xfId="0" applyNumberFormat="1" applyFont="1" applyFill="1" applyBorder="1" applyAlignment="1" applyProtection="1">
      <alignment vertical="center" wrapText="1"/>
    </xf>
    <xf numFmtId="0" fontId="19" fillId="13" borderId="39" xfId="0" applyNumberFormat="1" applyFont="1" applyFill="1" applyBorder="1" applyAlignment="1" applyProtection="1">
      <alignment vertical="center" wrapText="1"/>
    </xf>
    <xf numFmtId="0" fontId="19" fillId="13" borderId="26" xfId="0" applyNumberFormat="1" applyFont="1" applyFill="1" applyBorder="1" applyAlignment="1" applyProtection="1">
      <alignment vertical="center"/>
    </xf>
    <xf numFmtId="0" fontId="34" fillId="4" borderId="25" xfId="0" applyFont="1" applyFill="1" applyBorder="1" applyAlignment="1">
      <alignment horizontal="center" vertical="center" wrapText="1"/>
    </xf>
    <xf numFmtId="169" fontId="16" fillId="4" borderId="17" xfId="0" applyNumberFormat="1" applyFont="1" applyFill="1" applyBorder="1" applyAlignment="1">
      <alignment horizontal="center" vertical="center" wrapText="1"/>
    </xf>
    <xf numFmtId="0" fontId="30" fillId="4" borderId="57" xfId="0" applyFont="1" applyFill="1" applyBorder="1"/>
    <xf numFmtId="0" fontId="30" fillId="4" borderId="58" xfId="0" applyFont="1" applyFill="1" applyBorder="1"/>
    <xf numFmtId="3" fontId="34" fillId="4" borderId="1" xfId="0" applyNumberFormat="1" applyFont="1" applyFill="1" applyBorder="1" applyAlignment="1">
      <alignment horizontal="right" vertical="center" wrapText="1" indent="1"/>
    </xf>
    <xf numFmtId="3" fontId="34" fillId="4" borderId="11" xfId="0" applyNumberFormat="1" applyFont="1" applyFill="1" applyBorder="1" applyAlignment="1">
      <alignment horizontal="right" vertical="center" wrapText="1" indent="1"/>
    </xf>
    <xf numFmtId="169" fontId="16" fillId="4" borderId="12" xfId="0" applyNumberFormat="1" applyFont="1" applyFill="1" applyBorder="1" applyAlignment="1">
      <alignment horizontal="center" vertical="center" wrapText="1"/>
    </xf>
    <xf numFmtId="169" fontId="16" fillId="4" borderId="13" xfId="0" applyNumberFormat="1" applyFont="1" applyFill="1" applyBorder="1" applyAlignment="1">
      <alignment horizontal="center" vertical="center" wrapText="1"/>
    </xf>
    <xf numFmtId="9" fontId="47" fillId="4" borderId="0" xfId="0" applyNumberFormat="1" applyFont="1" applyFill="1" applyBorder="1" applyAlignment="1">
      <alignment horizontal="left" vertical="center"/>
    </xf>
    <xf numFmtId="169" fontId="34" fillId="4" borderId="15" xfId="0" applyNumberFormat="1" applyFont="1" applyFill="1" applyBorder="1" applyAlignment="1">
      <alignment horizontal="center" vertical="center"/>
    </xf>
    <xf numFmtId="0" fontId="46" fillId="5" borderId="2" xfId="0" applyFont="1" applyFill="1" applyBorder="1" applyAlignment="1">
      <alignment horizontal="right" vertical="center"/>
    </xf>
    <xf numFmtId="0" fontId="30" fillId="4" borderId="0" xfId="0" applyFont="1" applyFill="1" applyBorder="1"/>
    <xf numFmtId="0" fontId="45" fillId="9" borderId="46" xfId="0" applyFont="1" applyFill="1" applyBorder="1" applyAlignment="1">
      <alignment horizontal="left" vertical="center" indent="1"/>
    </xf>
    <xf numFmtId="0" fontId="30" fillId="4" borderId="0" xfId="0" applyFont="1" applyFill="1"/>
    <xf numFmtId="0" fontId="0" fillId="4" borderId="0" xfId="0" applyFill="1"/>
    <xf numFmtId="0" fontId="4" fillId="4" borderId="0" xfId="0" applyFont="1" applyFill="1" applyAlignment="1">
      <alignment vertical="center" wrapText="1"/>
    </xf>
    <xf numFmtId="0" fontId="30" fillId="5" borderId="2" xfId="0" applyFont="1" applyFill="1" applyBorder="1"/>
    <xf numFmtId="0" fontId="49" fillId="4" borderId="0" xfId="0" applyFont="1" applyFill="1"/>
    <xf numFmtId="0" fontId="47" fillId="4" borderId="0" xfId="0" applyFont="1" applyFill="1" applyBorder="1" applyAlignment="1">
      <alignment horizontal="left" vertical="center"/>
    </xf>
    <xf numFmtId="169" fontId="19" fillId="4" borderId="16" xfId="0" applyNumberFormat="1" applyFont="1" applyFill="1" applyBorder="1" applyAlignment="1">
      <alignment horizontal="center" vertical="center"/>
    </xf>
    <xf numFmtId="0" fontId="47" fillId="4" borderId="0" xfId="0" applyFont="1" applyFill="1" applyBorder="1" applyAlignment="1">
      <alignment horizontal="center" vertical="center"/>
    </xf>
    <xf numFmtId="0" fontId="34" fillId="4" borderId="62" xfId="0" applyFont="1" applyFill="1" applyBorder="1" applyAlignment="1">
      <alignment horizontal="left" vertical="center" wrapText="1" indent="1"/>
    </xf>
    <xf numFmtId="0" fontId="34" fillId="4" borderId="23" xfId="0" applyFont="1" applyFill="1" applyBorder="1" applyAlignment="1">
      <alignment vertical="center"/>
    </xf>
    <xf numFmtId="169" fontId="47" fillId="4" borderId="0" xfId="0" applyNumberFormat="1" applyFont="1" applyFill="1" applyBorder="1" applyAlignment="1">
      <alignment horizontal="center" vertical="center"/>
    </xf>
    <xf numFmtId="0" fontId="47" fillId="4" borderId="9" xfId="0" applyFont="1" applyFill="1" applyBorder="1" applyAlignment="1">
      <alignment horizontal="center" vertical="center"/>
    </xf>
    <xf numFmtId="0" fontId="0" fillId="5" borderId="0" xfId="0" applyFill="1"/>
    <xf numFmtId="0" fontId="59" fillId="5" borderId="0" xfId="0" applyFont="1" applyFill="1"/>
    <xf numFmtId="0" fontId="0" fillId="4" borderId="1" xfId="0" applyFill="1" applyBorder="1"/>
    <xf numFmtId="0" fontId="52" fillId="9" borderId="55" xfId="0" applyFont="1" applyFill="1" applyBorder="1" applyAlignment="1">
      <alignment horizontal="left" vertical="center" indent="1"/>
    </xf>
    <xf numFmtId="0" fontId="58" fillId="4" borderId="74" xfId="0" applyFont="1" applyFill="1" applyBorder="1" applyAlignment="1">
      <alignment horizontal="left" vertical="center" indent="1"/>
    </xf>
    <xf numFmtId="0" fontId="34" fillId="4" borderId="0" xfId="0" applyFont="1" applyFill="1"/>
    <xf numFmtId="0" fontId="62" fillId="4" borderId="0" xfId="0" applyFont="1" applyFill="1" applyBorder="1" applyAlignment="1">
      <alignment horizontal="left" vertical="center" indent="1"/>
    </xf>
    <xf numFmtId="0" fontId="62" fillId="4" borderId="0" xfId="0" applyFont="1" applyFill="1" applyBorder="1" applyAlignment="1">
      <alignment horizontal="left" vertical="center"/>
    </xf>
    <xf numFmtId="0" fontId="62" fillId="4" borderId="0" xfId="0" applyFont="1" applyFill="1"/>
    <xf numFmtId="49" fontId="30" fillId="4" borderId="0" xfId="0" applyNumberFormat="1" applyFont="1" applyFill="1" applyBorder="1" applyAlignment="1">
      <alignment horizontal="center" vertical="center"/>
    </xf>
    <xf numFmtId="0" fontId="43" fillId="7" borderId="0" xfId="0" applyNumberFormat="1" applyFont="1" applyFill="1" applyBorder="1" applyAlignment="1">
      <alignment horizontal="center" vertical="center" wrapText="1"/>
    </xf>
    <xf numFmtId="0" fontId="30" fillId="4" borderId="0" xfId="0" applyFont="1" applyFill="1" applyBorder="1" applyAlignment="1">
      <alignment horizontal="center" vertical="center"/>
    </xf>
    <xf numFmtId="0" fontId="33" fillId="4" borderId="0" xfId="0" applyFont="1" applyFill="1" applyBorder="1" applyAlignment="1">
      <alignment horizontal="center" vertical="center" wrapText="1"/>
    </xf>
    <xf numFmtId="6" fontId="30" fillId="4" borderId="0" xfId="0" applyNumberFormat="1" applyFont="1" applyFill="1" applyBorder="1" applyAlignment="1">
      <alignment horizontal="center" vertical="center"/>
    </xf>
    <xf numFmtId="0" fontId="6" fillId="4" borderId="0" xfId="0" applyFont="1" applyFill="1" applyBorder="1" applyAlignment="1">
      <alignment horizontal="left" vertical="center" indent="1"/>
    </xf>
    <xf numFmtId="0" fontId="42" fillId="4" borderId="0" xfId="0" applyFont="1" applyFill="1" applyBorder="1" applyAlignment="1">
      <alignment horizontal="left" vertical="center" wrapText="1"/>
    </xf>
    <xf numFmtId="0" fontId="6" fillId="4" borderId="0" xfId="0" applyFont="1" applyFill="1" applyBorder="1" applyAlignment="1">
      <alignment horizontal="left" vertical="center" wrapText="1" indent="1"/>
    </xf>
    <xf numFmtId="0" fontId="4" fillId="4" borderId="0" xfId="0" applyFont="1" applyFill="1" applyAlignment="1">
      <alignment horizontal="right" vertical="center" wrapText="1"/>
    </xf>
    <xf numFmtId="0" fontId="52" fillId="14" borderId="0" xfId="0" applyFont="1" applyFill="1" applyAlignment="1">
      <alignment horizontal="center" vertical="center"/>
    </xf>
    <xf numFmtId="0" fontId="45" fillId="9" borderId="0" xfId="0" applyFont="1" applyFill="1" applyBorder="1" applyAlignment="1">
      <alignment horizontal="center" vertical="center"/>
    </xf>
    <xf numFmtId="0" fontId="45" fillId="9" borderId="37" xfId="0" applyFont="1" applyFill="1" applyBorder="1" applyAlignment="1">
      <alignment horizontal="center" vertical="center"/>
    </xf>
    <xf numFmtId="0" fontId="45" fillId="9" borderId="36" xfId="0" applyFont="1" applyFill="1" applyBorder="1" applyAlignment="1">
      <alignment horizontal="center" vertical="center"/>
    </xf>
    <xf numFmtId="169" fontId="34" fillId="4" borderId="6" xfId="0" applyNumberFormat="1" applyFont="1" applyFill="1" applyBorder="1" applyAlignment="1">
      <alignment horizontal="center" vertical="center"/>
    </xf>
    <xf numFmtId="0" fontId="34" fillId="4" borderId="24" xfId="0" applyFont="1" applyFill="1" applyBorder="1" applyAlignment="1">
      <alignment horizontal="left" vertical="center" indent="1"/>
    </xf>
    <xf numFmtId="0" fontId="34" fillId="4" borderId="25" xfId="0" applyFont="1" applyFill="1" applyBorder="1" applyAlignment="1">
      <alignment horizontal="left" vertical="center" indent="1"/>
    </xf>
    <xf numFmtId="0" fontId="34" fillId="4" borderId="17" xfId="0" applyFont="1" applyFill="1" applyBorder="1" applyAlignment="1">
      <alignment horizontal="left" vertical="center" wrapText="1" indent="1"/>
    </xf>
    <xf numFmtId="0" fontId="47" fillId="4" borderId="11" xfId="0" applyFont="1" applyFill="1" applyBorder="1" applyAlignment="1">
      <alignment horizontal="center" vertical="center"/>
    </xf>
    <xf numFmtId="0" fontId="47" fillId="4" borderId="12" xfId="0" applyFont="1" applyFill="1" applyBorder="1" applyAlignment="1">
      <alignment horizontal="center" vertical="center"/>
    </xf>
    <xf numFmtId="0" fontId="47" fillId="4" borderId="1" xfId="0" applyFont="1" applyFill="1" applyBorder="1" applyAlignment="1">
      <alignment horizontal="center" vertical="center"/>
    </xf>
    <xf numFmtId="169" fontId="47" fillId="4" borderId="7" xfId="0" applyNumberFormat="1" applyFont="1" applyFill="1" applyBorder="1" applyAlignment="1">
      <alignment horizontal="center" vertical="center"/>
    </xf>
    <xf numFmtId="169" fontId="47" fillId="4" borderId="0" xfId="0" applyNumberFormat="1" applyFont="1" applyFill="1" applyBorder="1" applyAlignment="1">
      <alignment horizontal="right" vertical="center" indent="1"/>
    </xf>
    <xf numFmtId="0" fontId="34" fillId="4" borderId="20" xfId="0" applyFont="1" applyFill="1" applyBorder="1" applyAlignment="1">
      <alignment horizontal="left" vertical="center" wrapText="1" indent="1"/>
    </xf>
    <xf numFmtId="0" fontId="34" fillId="4" borderId="16" xfId="0" applyFont="1" applyFill="1" applyBorder="1" applyAlignment="1">
      <alignment horizontal="left" vertical="center" wrapText="1" indent="1"/>
    </xf>
    <xf numFmtId="0" fontId="47" fillId="4" borderId="0" xfId="8" applyNumberFormat="1" applyFont="1" applyFill="1" applyBorder="1" applyAlignment="1">
      <alignment horizontal="center" vertical="center"/>
    </xf>
    <xf numFmtId="0" fontId="34" fillId="4" borderId="1" xfId="0" applyFont="1" applyFill="1" applyBorder="1" applyAlignment="1">
      <alignment horizontal="center" vertical="center" wrapText="1"/>
    </xf>
    <xf numFmtId="0" fontId="34" fillId="4" borderId="10" xfId="0" applyFont="1" applyFill="1" applyBorder="1" applyAlignment="1">
      <alignment horizontal="center" vertical="center"/>
    </xf>
    <xf numFmtId="165" fontId="41" fillId="4" borderId="0" xfId="0" applyNumberFormat="1" applyFont="1" applyFill="1" applyBorder="1" applyAlignment="1">
      <alignment horizontal="center" vertical="center"/>
    </xf>
    <xf numFmtId="169" fontId="34" fillId="4" borderId="22" xfId="0" applyNumberFormat="1" applyFont="1" applyFill="1" applyBorder="1" applyAlignment="1">
      <alignment horizontal="center" vertical="center"/>
    </xf>
    <xf numFmtId="169" fontId="34" fillId="4" borderId="13" xfId="0" applyNumberFormat="1" applyFont="1" applyFill="1" applyBorder="1" applyAlignment="1">
      <alignment horizontal="center" vertical="center"/>
    </xf>
    <xf numFmtId="0" fontId="45" fillId="9" borderId="0" xfId="0" applyFont="1" applyFill="1" applyBorder="1" applyAlignment="1">
      <alignment horizontal="center" vertical="center" wrapText="1"/>
    </xf>
    <xf numFmtId="0" fontId="45" fillId="9" borderId="36" xfId="0" applyFont="1" applyFill="1" applyBorder="1" applyAlignment="1">
      <alignment horizontal="center" vertical="center" wrapText="1"/>
    </xf>
    <xf numFmtId="0" fontId="34" fillId="4" borderId="0" xfId="0" applyFont="1" applyFill="1" applyBorder="1" applyAlignment="1">
      <alignment horizontal="left" vertical="center" wrapText="1" indent="1"/>
    </xf>
    <xf numFmtId="0" fontId="34" fillId="4" borderId="23" xfId="0" applyFont="1" applyFill="1" applyBorder="1" applyAlignment="1">
      <alignment horizontal="left" vertical="center" wrapText="1" indent="1"/>
    </xf>
    <xf numFmtId="0" fontId="7" fillId="4" borderId="0" xfId="0" applyFont="1" applyFill="1" applyBorder="1" applyAlignment="1">
      <alignment horizontal="center" vertical="center"/>
    </xf>
    <xf numFmtId="0" fontId="45" fillId="9" borderId="52" xfId="0" applyFont="1" applyFill="1" applyBorder="1" applyAlignment="1">
      <alignment horizontal="center" vertical="center"/>
    </xf>
    <xf numFmtId="0" fontId="19" fillId="4" borderId="0" xfId="0" applyFont="1" applyFill="1" applyBorder="1" applyAlignment="1">
      <alignment horizontal="center" vertical="center"/>
    </xf>
    <xf numFmtId="49" fontId="19" fillId="4" borderId="8" xfId="0" applyNumberFormat="1" applyFont="1" applyFill="1" applyBorder="1" applyAlignment="1">
      <alignment horizontal="center" vertical="center"/>
    </xf>
    <xf numFmtId="49" fontId="19" fillId="4" borderId="9" xfId="0" applyNumberFormat="1" applyFont="1" applyFill="1" applyBorder="1" applyAlignment="1">
      <alignment horizontal="center" vertical="center"/>
    </xf>
    <xf numFmtId="0" fontId="2" fillId="4" borderId="0" xfId="0" applyNumberFormat="1" applyFont="1" applyFill="1" applyBorder="1" applyAlignment="1">
      <alignment horizontal="left" vertical="center" wrapText="1"/>
    </xf>
    <xf numFmtId="0" fontId="55" fillId="9" borderId="37" xfId="0" applyFont="1" applyFill="1" applyBorder="1" applyAlignment="1">
      <alignment horizontal="center" vertical="center" wrapText="1"/>
    </xf>
    <xf numFmtId="0" fontId="3" fillId="4" borderId="0" xfId="0" applyNumberFormat="1" applyFont="1" applyFill="1" applyBorder="1" applyAlignment="1">
      <alignment horizontal="left" vertical="center" wrapText="1"/>
    </xf>
    <xf numFmtId="0" fontId="8" fillId="4" borderId="0" xfId="0" applyFont="1" applyFill="1" applyAlignment="1">
      <alignment horizontal="left" vertical="top" wrapText="1"/>
    </xf>
    <xf numFmtId="6" fontId="2" fillId="4" borderId="0" xfId="0" applyNumberFormat="1" applyFont="1" applyFill="1" applyBorder="1" applyAlignment="1">
      <alignment horizontal="center" vertical="center" wrapText="1"/>
    </xf>
    <xf numFmtId="0" fontId="34" fillId="4" borderId="0" xfId="0" applyFont="1" applyFill="1" applyAlignment="1"/>
    <xf numFmtId="0" fontId="43" fillId="7" borderId="0" xfId="0" applyNumberFormat="1" applyFont="1" applyFill="1" applyBorder="1" applyAlignment="1">
      <alignment horizontal="center" vertical="center" wrapText="1"/>
    </xf>
    <xf numFmtId="169" fontId="34" fillId="13" borderId="12" xfId="0" applyNumberFormat="1" applyFont="1" applyFill="1" applyBorder="1" applyAlignment="1">
      <alignment horizontal="center" vertical="center"/>
    </xf>
    <xf numFmtId="169" fontId="34" fillId="4" borderId="17" xfId="0" applyNumberFormat="1" applyFont="1" applyFill="1" applyBorder="1" applyAlignment="1">
      <alignment horizontal="center" vertical="center"/>
    </xf>
    <xf numFmtId="0" fontId="45" fillId="9" borderId="0" xfId="0" applyFont="1" applyFill="1" applyBorder="1" applyAlignment="1">
      <alignment horizontal="left" vertical="center" indent="1"/>
    </xf>
    <xf numFmtId="0" fontId="19" fillId="4" borderId="17"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9" xfId="0" applyFont="1" applyFill="1" applyBorder="1" applyAlignment="1">
      <alignment horizontal="center" vertical="center"/>
    </xf>
    <xf numFmtId="169" fontId="19" fillId="4" borderId="95" xfId="0" applyNumberFormat="1" applyFont="1" applyFill="1" applyBorder="1" applyAlignment="1">
      <alignment horizontal="center" vertical="center"/>
    </xf>
    <xf numFmtId="165" fontId="34" fillId="13" borderId="38" xfId="0" applyNumberFormat="1" applyFont="1" applyFill="1" applyBorder="1" applyAlignment="1">
      <alignment horizontal="center" vertical="center"/>
    </xf>
    <xf numFmtId="0" fontId="34" fillId="0" borderId="56" xfId="0" applyFont="1" applyFill="1" applyBorder="1" applyAlignment="1">
      <alignment horizontal="center" vertical="center" textRotation="90"/>
    </xf>
    <xf numFmtId="0" fontId="47" fillId="13" borderId="0" xfId="0" applyFont="1" applyFill="1" applyAlignment="1">
      <alignment horizontal="left" indent="1"/>
    </xf>
    <xf numFmtId="0" fontId="0" fillId="0" borderId="56" xfId="0" applyBorder="1"/>
    <xf numFmtId="0" fontId="30" fillId="4" borderId="56" xfId="0" applyFont="1" applyFill="1" applyBorder="1"/>
    <xf numFmtId="0" fontId="0" fillId="0" borderId="96" xfId="0" applyBorder="1"/>
    <xf numFmtId="0" fontId="63" fillId="0" borderId="0" xfId="0" applyFont="1"/>
    <xf numFmtId="0" fontId="45" fillId="9" borderId="76" xfId="0" applyFont="1" applyFill="1" applyBorder="1" applyAlignment="1">
      <alignment horizontal="center" vertical="center"/>
    </xf>
    <xf numFmtId="0" fontId="19" fillId="4" borderId="0" xfId="0" applyFont="1" applyFill="1" applyBorder="1" applyAlignment="1">
      <alignment horizontal="center" vertical="center"/>
    </xf>
    <xf numFmtId="9" fontId="52" fillId="9" borderId="0" xfId="0" applyNumberFormat="1" applyFont="1" applyFill="1" applyBorder="1" applyAlignment="1">
      <alignment vertical="center"/>
    </xf>
    <xf numFmtId="9" fontId="47" fillId="4" borderId="8" xfId="0" applyNumberFormat="1" applyFont="1" applyFill="1" applyBorder="1" applyAlignment="1">
      <alignment horizontal="left" vertical="center" indent="1"/>
    </xf>
    <xf numFmtId="9" fontId="47" fillId="4" borderId="9" xfId="0" applyNumberFormat="1" applyFont="1" applyFill="1" applyBorder="1" applyAlignment="1">
      <alignment horizontal="left" vertical="center" indent="1"/>
    </xf>
    <xf numFmtId="9" fontId="47" fillId="4" borderId="10" xfId="0" applyNumberFormat="1" applyFont="1" applyFill="1" applyBorder="1" applyAlignment="1">
      <alignment horizontal="left" vertical="center" indent="1"/>
    </xf>
    <xf numFmtId="0" fontId="52" fillId="9" borderId="0" xfId="0" applyFont="1" applyFill="1" applyBorder="1" applyAlignment="1">
      <alignment horizontal="center" vertical="center" wrapText="1"/>
    </xf>
    <xf numFmtId="169" fontId="19" fillId="4" borderId="94" xfId="0" applyNumberFormat="1" applyFont="1" applyFill="1" applyBorder="1" applyAlignment="1">
      <alignment horizontal="center" vertical="center"/>
    </xf>
    <xf numFmtId="0" fontId="34" fillId="4" borderId="0" xfId="0" applyFont="1" applyFill="1" applyBorder="1" applyAlignment="1">
      <alignment horizontal="left" vertical="center" wrapText="1" indent="1"/>
    </xf>
    <xf numFmtId="0" fontId="34" fillId="4" borderId="58" xfId="0" applyFont="1" applyFill="1" applyBorder="1" applyAlignment="1">
      <alignment horizontal="left" vertical="center" wrapText="1" indent="1"/>
    </xf>
    <xf numFmtId="0" fontId="64" fillId="4" borderId="0" xfId="0" applyFont="1" applyFill="1" applyBorder="1" applyAlignment="1">
      <alignment vertical="center"/>
    </xf>
    <xf numFmtId="0" fontId="65" fillId="4" borderId="0" xfId="0" applyFont="1" applyFill="1" applyBorder="1" applyAlignment="1">
      <alignment horizontal="left" vertical="center"/>
    </xf>
    <xf numFmtId="0" fontId="30" fillId="4" borderId="98" xfId="0" applyFont="1" applyFill="1" applyBorder="1"/>
    <xf numFmtId="0" fontId="19" fillId="4" borderId="9" xfId="0" applyFont="1" applyFill="1" applyBorder="1" applyAlignment="1">
      <alignment horizontal="left" vertical="center" wrapText="1" indent="1"/>
    </xf>
    <xf numFmtId="0" fontId="19" fillId="4" borderId="5" xfId="0" applyFont="1" applyFill="1" applyBorder="1" applyAlignment="1">
      <alignment horizontal="left" vertical="center" wrapText="1" indent="1"/>
    </xf>
    <xf numFmtId="0" fontId="47" fillId="4" borderId="1" xfId="0" applyFont="1" applyFill="1" applyBorder="1" applyAlignment="1">
      <alignment horizontal="center" vertical="center"/>
    </xf>
    <xf numFmtId="0" fontId="52" fillId="4" borderId="0" xfId="0" applyFont="1" applyFill="1" applyBorder="1" applyAlignment="1">
      <alignment vertical="center"/>
    </xf>
    <xf numFmtId="0" fontId="52" fillId="4" borderId="56" xfId="0" applyFont="1" applyFill="1" applyBorder="1" applyAlignment="1">
      <alignment vertical="center"/>
    </xf>
    <xf numFmtId="0" fontId="45" fillId="9" borderId="0" xfId="0" applyFont="1" applyFill="1" applyBorder="1" applyAlignment="1">
      <alignment horizontal="center" vertical="center"/>
    </xf>
    <xf numFmtId="0" fontId="62" fillId="4" borderId="18" xfId="0" applyFont="1" applyFill="1" applyBorder="1" applyAlignment="1">
      <alignment horizontal="left" vertical="center" indent="1"/>
    </xf>
    <xf numFmtId="0" fontId="62" fillId="4" borderId="11" xfId="0" applyFont="1" applyFill="1" applyBorder="1" applyAlignment="1">
      <alignment horizontal="left" vertical="center" indent="1"/>
    </xf>
    <xf numFmtId="169" fontId="47" fillId="4" borderId="0" xfId="0" applyNumberFormat="1" applyFont="1" applyFill="1" applyBorder="1" applyAlignment="1">
      <alignment horizontal="right" vertical="center" indent="1"/>
    </xf>
    <xf numFmtId="0" fontId="52" fillId="4" borderId="0" xfId="0" applyFont="1" applyFill="1" applyBorder="1" applyAlignment="1">
      <alignment horizontal="center" vertical="center"/>
    </xf>
    <xf numFmtId="0" fontId="45" fillId="9" borderId="0" xfId="0" applyFont="1" applyFill="1" applyBorder="1" applyAlignment="1">
      <alignment horizontal="center" vertical="center" wrapText="1" readingOrder="1"/>
    </xf>
    <xf numFmtId="0" fontId="45" fillId="9" borderId="36" xfId="0" applyFont="1" applyFill="1" applyBorder="1" applyAlignment="1">
      <alignment horizontal="center" vertical="center" wrapText="1" readingOrder="1"/>
    </xf>
    <xf numFmtId="169" fontId="19" fillId="4" borderId="14" xfId="0" applyNumberFormat="1" applyFont="1" applyFill="1" applyBorder="1" applyAlignment="1">
      <alignment horizontal="center" vertical="center"/>
    </xf>
    <xf numFmtId="169" fontId="47" fillId="4" borderId="0" xfId="0" applyNumberFormat="1" applyFont="1" applyFill="1" applyBorder="1" applyAlignment="1">
      <alignment horizontal="right" vertical="center" indent="2"/>
    </xf>
    <xf numFmtId="169" fontId="47" fillId="4" borderId="26" xfId="0" applyNumberFormat="1" applyFont="1" applyFill="1" applyBorder="1" applyAlignment="1">
      <alignment horizontal="right" vertical="center" indent="1"/>
    </xf>
    <xf numFmtId="172" fontId="19" fillId="4" borderId="8" xfId="35" applyNumberFormat="1" applyFont="1" applyFill="1" applyBorder="1" applyAlignment="1">
      <alignment horizontal="center" vertical="center"/>
    </xf>
    <xf numFmtId="0" fontId="34" fillId="13" borderId="33" xfId="0" applyFont="1" applyFill="1" applyBorder="1" applyAlignment="1">
      <alignment horizontal="left" vertical="center" wrapText="1" indent="1"/>
    </xf>
    <xf numFmtId="0" fontId="34" fillId="13" borderId="28" xfId="0" applyFont="1" applyFill="1" applyBorder="1" applyAlignment="1">
      <alignment horizontal="left" vertical="center" wrapText="1" indent="1"/>
    </xf>
    <xf numFmtId="0" fontId="34" fillId="13" borderId="2" xfId="0" applyFont="1" applyFill="1" applyBorder="1" applyAlignment="1">
      <alignment horizontal="left" vertical="center" wrapText="1" indent="1"/>
    </xf>
    <xf numFmtId="0" fontId="34" fillId="13" borderId="11" xfId="0" applyFont="1" applyFill="1" applyBorder="1" applyAlignment="1">
      <alignment horizontal="left" vertical="center" wrapText="1" indent="1"/>
    </xf>
    <xf numFmtId="0" fontId="34" fillId="13" borderId="21" xfId="0" applyFont="1" applyFill="1" applyBorder="1" applyAlignment="1">
      <alignment horizontal="left" vertical="center" wrapText="1" indent="1"/>
    </xf>
    <xf numFmtId="0" fontId="34" fillId="13" borderId="7" xfId="0" applyFont="1" applyFill="1" applyBorder="1" applyAlignment="1">
      <alignment horizontal="left" vertical="center" wrapText="1" indent="1"/>
    </xf>
    <xf numFmtId="0" fontId="34" fillId="13" borderId="2" xfId="7" applyFont="1" applyFill="1" applyBorder="1" applyAlignment="1">
      <alignment horizontal="left" vertical="center" wrapText="1" indent="1"/>
    </xf>
    <xf numFmtId="0" fontId="34" fillId="13" borderId="11" xfId="7" applyFont="1" applyFill="1" applyBorder="1" applyAlignment="1">
      <alignment horizontal="left" vertical="center" wrapText="1" indent="1"/>
    </xf>
    <xf numFmtId="0" fontId="34" fillId="13" borderId="33" xfId="7" applyFont="1" applyFill="1" applyBorder="1" applyAlignment="1">
      <alignment horizontal="left" vertical="center" wrapText="1" indent="1"/>
    </xf>
    <xf numFmtId="0" fontId="34" fillId="13" borderId="28" xfId="7" applyFont="1" applyFill="1" applyBorder="1" applyAlignment="1">
      <alignment horizontal="left" vertical="center" wrapText="1" indent="1"/>
    </xf>
    <xf numFmtId="0" fontId="34" fillId="13" borderId="21" xfId="7" applyFont="1" applyFill="1" applyBorder="1" applyAlignment="1">
      <alignment horizontal="left" vertical="center" wrapText="1" indent="1"/>
    </xf>
    <xf numFmtId="0" fontId="34" fillId="13" borderId="7" xfId="7" applyFont="1" applyFill="1" applyBorder="1" applyAlignment="1">
      <alignment horizontal="left" vertical="center" wrapText="1" indent="1"/>
    </xf>
    <xf numFmtId="0" fontId="34" fillId="4" borderId="0" xfId="0" applyFont="1" applyFill="1" applyAlignment="1">
      <alignment horizontal="left" wrapText="1"/>
    </xf>
    <xf numFmtId="169" fontId="47" fillId="4" borderId="10" xfId="0" applyNumberFormat="1" applyFont="1" applyFill="1" applyBorder="1" applyAlignment="1">
      <alignment horizontal="center" vertical="center"/>
    </xf>
    <xf numFmtId="0" fontId="47" fillId="4" borderId="10" xfId="0" applyFont="1" applyFill="1" applyBorder="1" applyAlignment="1">
      <alignment horizontal="center" vertical="center"/>
    </xf>
    <xf numFmtId="169" fontId="19" fillId="4" borderId="20" xfId="0" applyNumberFormat="1" applyFont="1" applyFill="1" applyBorder="1" applyAlignment="1">
      <alignment horizontal="center" vertical="center"/>
    </xf>
    <xf numFmtId="169" fontId="34" fillId="4" borderId="6" xfId="0" applyNumberFormat="1" applyFont="1" applyFill="1" applyBorder="1" applyAlignment="1">
      <alignment horizontal="center" vertical="center"/>
    </xf>
    <xf numFmtId="169" fontId="34" fillId="4" borderId="7" xfId="0" applyNumberFormat="1" applyFont="1" applyFill="1" applyBorder="1" applyAlignment="1">
      <alignment horizontal="center" vertical="center"/>
    </xf>
    <xf numFmtId="169" fontId="34" fillId="4" borderId="17" xfId="0" applyNumberFormat="1" applyFont="1" applyFill="1" applyBorder="1" applyAlignment="1">
      <alignment horizontal="center" vertical="center"/>
    </xf>
    <xf numFmtId="169" fontId="47" fillId="4" borderId="12" xfId="0" applyNumberFormat="1" applyFont="1" applyFill="1" applyBorder="1" applyAlignment="1">
      <alignment horizontal="center" vertical="center"/>
    </xf>
    <xf numFmtId="169" fontId="47" fillId="4" borderId="8" xfId="0" applyNumberFormat="1" applyFont="1" applyFill="1" applyBorder="1" applyAlignment="1">
      <alignment horizontal="center" vertical="center"/>
    </xf>
    <xf numFmtId="169" fontId="34" fillId="13" borderId="7" xfId="0" applyNumberFormat="1" applyFont="1" applyFill="1" applyBorder="1" applyAlignment="1">
      <alignment horizontal="center" vertical="center"/>
    </xf>
    <xf numFmtId="0" fontId="34" fillId="4" borderId="3" xfId="0" applyFont="1" applyFill="1" applyBorder="1" applyAlignment="1">
      <alignment horizontal="left" vertical="center" wrapText="1" indent="1"/>
    </xf>
    <xf numFmtId="169" fontId="34" fillId="4" borderId="12" xfId="0" applyNumberFormat="1" applyFont="1" applyFill="1" applyBorder="1" applyAlignment="1">
      <alignment horizontal="center" vertical="center"/>
    </xf>
    <xf numFmtId="169" fontId="34" fillId="4" borderId="6" xfId="0" applyNumberFormat="1" applyFont="1" applyFill="1" applyBorder="1" applyAlignment="1">
      <alignment horizontal="center" vertical="center"/>
    </xf>
    <xf numFmtId="169" fontId="34" fillId="13" borderId="7" xfId="0" applyNumberFormat="1" applyFont="1" applyFill="1" applyBorder="1" applyAlignment="1">
      <alignment horizontal="center" vertical="center"/>
    </xf>
    <xf numFmtId="169" fontId="47" fillId="4" borderId="0" xfId="0" applyNumberFormat="1" applyFont="1" applyFill="1" applyBorder="1" applyAlignment="1">
      <alignment horizontal="right" vertical="center" indent="1"/>
    </xf>
    <xf numFmtId="169" fontId="34" fillId="4" borderId="22" xfId="0" applyNumberFormat="1" applyFont="1" applyFill="1" applyBorder="1" applyAlignment="1">
      <alignment horizontal="center" vertical="center"/>
    </xf>
    <xf numFmtId="169" fontId="34" fillId="13" borderId="13" xfId="0" applyNumberFormat="1" applyFont="1" applyFill="1" applyBorder="1" applyAlignment="1">
      <alignment horizontal="center" vertical="center"/>
    </xf>
    <xf numFmtId="0" fontId="34" fillId="4" borderId="11" xfId="0" applyFont="1" applyFill="1" applyBorder="1" applyAlignment="1">
      <alignment horizontal="left" vertical="center" wrapText="1" indent="1"/>
    </xf>
    <xf numFmtId="0" fontId="52" fillId="9" borderId="56" xfId="0" applyFont="1" applyFill="1" applyBorder="1" applyAlignment="1">
      <alignment horizontal="left" vertical="center" wrapText="1" indent="1"/>
    </xf>
    <xf numFmtId="0" fontId="52" fillId="4" borderId="85" xfId="0" applyFont="1" applyFill="1" applyBorder="1" applyAlignment="1">
      <alignment vertical="center"/>
    </xf>
    <xf numFmtId="169" fontId="47" fillId="4" borderId="0" xfId="0" applyNumberFormat="1" applyFont="1" applyFill="1" applyBorder="1" applyAlignment="1">
      <alignment horizontal="right" vertical="center" indent="1"/>
    </xf>
    <xf numFmtId="0" fontId="45" fillId="9" borderId="55" xfId="0" applyFont="1" applyFill="1" applyBorder="1" applyAlignment="1">
      <alignment horizontal="left" vertical="center" wrapText="1" indent="1"/>
    </xf>
    <xf numFmtId="0" fontId="30" fillId="4" borderId="99" xfId="0" applyFont="1" applyFill="1" applyBorder="1"/>
    <xf numFmtId="0" fontId="34" fillId="4" borderId="16" xfId="0" applyFont="1" applyFill="1" applyBorder="1" applyAlignment="1">
      <alignment horizontal="center" vertical="center"/>
    </xf>
    <xf numFmtId="0" fontId="34" fillId="4" borderId="8" xfId="0" applyFont="1" applyFill="1" applyBorder="1" applyAlignment="1">
      <alignment horizontal="center" vertical="center"/>
    </xf>
    <xf numFmtId="0" fontId="34" fillId="4" borderId="17" xfId="0" applyFont="1" applyFill="1" applyBorder="1" applyAlignment="1">
      <alignment horizontal="left" vertical="center" indent="1"/>
    </xf>
    <xf numFmtId="0" fontId="34" fillId="4" borderId="12" xfId="0" applyFont="1" applyFill="1" applyBorder="1" applyAlignment="1">
      <alignment horizontal="right" vertical="center" indent="1"/>
    </xf>
    <xf numFmtId="169" fontId="34" fillId="13" borderId="12" xfId="0" applyNumberFormat="1" applyFont="1" applyFill="1" applyBorder="1" applyAlignment="1">
      <alignment horizontal="center" vertical="center"/>
    </xf>
    <xf numFmtId="169" fontId="34" fillId="4" borderId="17" xfId="0" applyNumberFormat="1" applyFont="1" applyFill="1" applyBorder="1" applyAlignment="1">
      <alignment horizontal="center" vertical="center"/>
    </xf>
    <xf numFmtId="169" fontId="47" fillId="4" borderId="0" xfId="0" applyNumberFormat="1" applyFont="1" applyFill="1" applyBorder="1" applyAlignment="1">
      <alignment horizontal="right" vertical="center" indent="1"/>
    </xf>
    <xf numFmtId="0" fontId="34" fillId="13" borderId="29" xfId="0" applyFont="1" applyFill="1" applyBorder="1" applyAlignment="1">
      <alignment horizontal="left" vertical="center" wrapText="1" indent="1"/>
    </xf>
    <xf numFmtId="0" fontId="34" fillId="13" borderId="12" xfId="0" applyFont="1" applyFill="1" applyBorder="1" applyAlignment="1">
      <alignment horizontal="left" vertical="center" wrapText="1" indent="1"/>
    </xf>
    <xf numFmtId="169" fontId="47" fillId="13" borderId="6" xfId="0" applyNumberFormat="1" applyFont="1" applyFill="1" applyBorder="1" applyAlignment="1">
      <alignment horizontal="center" vertical="center"/>
    </xf>
    <xf numFmtId="169" fontId="34" fillId="4" borderId="30" xfId="0" applyNumberFormat="1" applyFont="1" applyFill="1" applyBorder="1" applyAlignment="1">
      <alignment horizontal="center" vertical="center"/>
    </xf>
    <xf numFmtId="169" fontId="34" fillId="4" borderId="18" xfId="0" applyNumberFormat="1" applyFont="1" applyFill="1" applyBorder="1" applyAlignment="1">
      <alignment horizontal="center" vertical="center"/>
    </xf>
    <xf numFmtId="169" fontId="56" fillId="13" borderId="18" xfId="0" applyNumberFormat="1" applyFont="1" applyFill="1" applyBorder="1" applyAlignment="1">
      <alignment horizontal="center" vertical="center"/>
    </xf>
    <xf numFmtId="169" fontId="56" fillId="13" borderId="11" xfId="0" applyNumberFormat="1" applyFont="1" applyFill="1" applyBorder="1" applyAlignment="1">
      <alignment horizontal="center" vertical="center"/>
    </xf>
    <xf numFmtId="169" fontId="47" fillId="13" borderId="30" xfId="0" applyNumberFormat="1" applyFont="1" applyFill="1" applyBorder="1" applyAlignment="1">
      <alignment horizontal="center" vertical="center"/>
    </xf>
    <xf numFmtId="169" fontId="47" fillId="13" borderId="23" xfId="0" applyNumberFormat="1" applyFont="1" applyFill="1" applyBorder="1" applyAlignment="1">
      <alignment horizontal="center" vertical="center"/>
    </xf>
    <xf numFmtId="169" fontId="34" fillId="13" borderId="19" xfId="0" applyNumberFormat="1" applyFont="1" applyFill="1" applyBorder="1" applyAlignment="1">
      <alignment horizontal="center" vertical="center"/>
    </xf>
    <xf numFmtId="169" fontId="34" fillId="13" borderId="28" xfId="0" applyNumberFormat="1" applyFont="1" applyFill="1" applyBorder="1" applyAlignment="1">
      <alignment horizontal="center" vertical="center"/>
    </xf>
    <xf numFmtId="169" fontId="34" fillId="13" borderId="19" xfId="0" applyNumberFormat="1" applyFont="1" applyFill="1" applyBorder="1" applyAlignment="1">
      <alignment horizontal="center" vertical="center" wrapText="1"/>
    </xf>
    <xf numFmtId="169" fontId="47" fillId="4" borderId="30" xfId="0" applyNumberFormat="1" applyFont="1" applyFill="1" applyBorder="1" applyAlignment="1">
      <alignment horizontal="center" vertical="center" wrapText="1"/>
    </xf>
    <xf numFmtId="169" fontId="34" fillId="13" borderId="6" xfId="0" applyNumberFormat="1" applyFont="1" applyFill="1" applyBorder="1" applyAlignment="1">
      <alignment horizontal="center" vertical="center" wrapText="1"/>
    </xf>
    <xf numFmtId="169" fontId="34" fillId="13" borderId="7" xfId="0" applyNumberFormat="1" applyFont="1" applyFill="1" applyBorder="1" applyAlignment="1">
      <alignment horizontal="center" vertical="center" wrapText="1"/>
    </xf>
    <xf numFmtId="169" fontId="34" fillId="13" borderId="22" xfId="0" applyNumberFormat="1" applyFont="1" applyFill="1" applyBorder="1" applyAlignment="1">
      <alignment horizontal="center" vertical="center" wrapText="1"/>
    </xf>
    <xf numFmtId="169" fontId="34" fillId="13" borderId="13" xfId="0" applyNumberFormat="1" applyFont="1" applyFill="1" applyBorder="1" applyAlignment="1">
      <alignment horizontal="center" vertical="center" wrapText="1"/>
    </xf>
    <xf numFmtId="169" fontId="34" fillId="4" borderId="97" xfId="0" applyNumberFormat="1" applyFont="1" applyFill="1" applyBorder="1" applyAlignment="1">
      <alignment horizontal="center" vertical="center"/>
    </xf>
    <xf numFmtId="169" fontId="34" fillId="4" borderId="30" xfId="0" applyNumberFormat="1" applyFont="1" applyFill="1" applyBorder="1" applyAlignment="1">
      <alignment horizontal="center" vertical="center" wrapText="1"/>
    </xf>
    <xf numFmtId="169" fontId="19" fillId="4" borderId="30" xfId="0" applyNumberFormat="1" applyFont="1" applyFill="1" applyBorder="1" applyAlignment="1">
      <alignment horizontal="center" vertical="center"/>
    </xf>
    <xf numFmtId="169" fontId="47" fillId="4" borderId="30" xfId="0" applyNumberFormat="1" applyFont="1" applyFill="1" applyBorder="1" applyAlignment="1">
      <alignment horizontal="center" vertical="center"/>
    </xf>
    <xf numFmtId="169" fontId="47" fillId="4" borderId="23" xfId="0" applyNumberFormat="1" applyFont="1" applyFill="1" applyBorder="1" applyAlignment="1">
      <alignment horizontal="center" vertical="center"/>
    </xf>
    <xf numFmtId="169" fontId="34" fillId="13" borderId="6" xfId="0" applyNumberFormat="1" applyFont="1" applyFill="1" applyBorder="1" applyAlignment="1">
      <alignment horizontal="center" vertical="center"/>
    </xf>
    <xf numFmtId="169" fontId="34" fillId="13" borderId="7" xfId="0" applyNumberFormat="1" applyFont="1" applyFill="1" applyBorder="1" applyAlignment="1">
      <alignment horizontal="center" vertical="center"/>
    </xf>
    <xf numFmtId="169" fontId="34" fillId="13" borderId="22" xfId="0" applyNumberFormat="1" applyFont="1" applyFill="1" applyBorder="1" applyAlignment="1">
      <alignment horizontal="center" vertical="center"/>
    </xf>
    <xf numFmtId="169" fontId="34" fillId="13" borderId="13" xfId="0" applyNumberFormat="1" applyFont="1" applyFill="1" applyBorder="1" applyAlignment="1">
      <alignment horizontal="center" vertical="center"/>
    </xf>
    <xf numFmtId="0" fontId="57" fillId="9" borderId="36" xfId="0" applyFont="1" applyFill="1" applyBorder="1" applyAlignment="1">
      <alignment horizontal="center" vertical="center" wrapText="1"/>
    </xf>
    <xf numFmtId="0" fontId="57" fillId="9" borderId="61" xfId="0" applyFont="1" applyFill="1" applyBorder="1" applyAlignment="1">
      <alignment horizontal="center" vertical="center" wrapText="1"/>
    </xf>
    <xf numFmtId="0" fontId="45" fillId="9" borderId="0" xfId="0" applyFont="1" applyFill="1" applyBorder="1" applyAlignment="1">
      <alignment horizontal="center" vertical="center" wrapText="1"/>
    </xf>
    <xf numFmtId="169" fontId="34" fillId="13" borderId="23" xfId="0" applyNumberFormat="1" applyFont="1" applyFill="1" applyBorder="1" applyAlignment="1">
      <alignment horizontal="center" vertical="center"/>
    </xf>
    <xf numFmtId="169" fontId="70" fillId="4" borderId="48" xfId="0" applyNumberFormat="1" applyFont="1" applyFill="1" applyBorder="1" applyAlignment="1">
      <alignment horizontal="center" vertical="center"/>
    </xf>
    <xf numFmtId="169" fontId="70" fillId="4" borderId="23" xfId="0" applyNumberFormat="1" applyFont="1" applyFill="1" applyBorder="1" applyAlignment="1">
      <alignment horizontal="center" vertical="center"/>
    </xf>
    <xf numFmtId="169" fontId="71" fillId="4" borderId="23" xfId="0" applyNumberFormat="1" applyFont="1" applyFill="1" applyBorder="1" applyAlignment="1">
      <alignment horizontal="center" vertical="center" wrapText="1"/>
    </xf>
    <xf numFmtId="169" fontId="70" fillId="4" borderId="23" xfId="0" applyNumberFormat="1" applyFont="1" applyFill="1" applyBorder="1" applyAlignment="1">
      <alignment horizontal="center" vertical="center" wrapText="1"/>
    </xf>
    <xf numFmtId="169" fontId="71" fillId="4" borderId="23" xfId="0" applyNumberFormat="1" applyFont="1" applyFill="1" applyBorder="1" applyAlignment="1">
      <alignment horizontal="center" vertical="center"/>
    </xf>
    <xf numFmtId="169" fontId="70" fillId="13" borderId="28" xfId="0" applyNumberFormat="1" applyFont="1" applyFill="1" applyBorder="1" applyAlignment="1">
      <alignment horizontal="center" vertical="center"/>
    </xf>
    <xf numFmtId="169" fontId="70" fillId="13" borderId="13" xfId="0" applyNumberFormat="1" applyFont="1" applyFill="1" applyBorder="1" applyAlignment="1">
      <alignment horizontal="center" vertical="center"/>
    </xf>
    <xf numFmtId="169" fontId="70" fillId="13" borderId="28" xfId="0" applyNumberFormat="1" applyFont="1" applyFill="1" applyBorder="1" applyAlignment="1">
      <alignment horizontal="center" vertical="center" wrapText="1"/>
    </xf>
    <xf numFmtId="169" fontId="70" fillId="13" borderId="7" xfId="0" applyNumberFormat="1" applyFont="1" applyFill="1" applyBorder="1" applyAlignment="1">
      <alignment horizontal="center" vertical="center" wrapText="1"/>
    </xf>
    <xf numFmtId="169" fontId="70" fillId="13" borderId="13" xfId="0" applyNumberFormat="1" applyFont="1" applyFill="1" applyBorder="1" applyAlignment="1">
      <alignment horizontal="center" vertical="center" wrapText="1"/>
    </xf>
    <xf numFmtId="169" fontId="70" fillId="13" borderId="7" xfId="0" applyNumberFormat="1" applyFont="1" applyFill="1" applyBorder="1" applyAlignment="1">
      <alignment horizontal="center" vertical="center"/>
    </xf>
    <xf numFmtId="6" fontId="30" fillId="4" borderId="0" xfId="0" applyNumberFormat="1" applyFont="1" applyFill="1" applyBorder="1" applyAlignment="1">
      <alignment horizontal="center" vertical="center"/>
    </xf>
    <xf numFmtId="169" fontId="70" fillId="4" borderId="11" xfId="0" applyNumberFormat="1" applyFont="1" applyFill="1" applyBorder="1" applyAlignment="1">
      <alignment horizontal="center" vertical="center"/>
    </xf>
    <xf numFmtId="0" fontId="23" fillId="4" borderId="10" xfId="0" applyFont="1" applyFill="1" applyBorder="1" applyAlignment="1">
      <alignment horizontal="center" vertical="center" wrapText="1" readingOrder="1"/>
    </xf>
    <xf numFmtId="0" fontId="23" fillId="4" borderId="8" xfId="0" applyFont="1" applyFill="1" applyBorder="1" applyAlignment="1">
      <alignment horizontal="center" vertical="center" wrapText="1" readingOrder="1"/>
    </xf>
    <xf numFmtId="0" fontId="23" fillId="4" borderId="9" xfId="0" applyFont="1" applyFill="1" applyBorder="1" applyAlignment="1">
      <alignment horizontal="center" vertical="center" wrapText="1" readingOrder="1"/>
    </xf>
    <xf numFmtId="169" fontId="23" fillId="4" borderId="12" xfId="0" applyNumberFormat="1" applyFont="1" applyFill="1" applyBorder="1" applyAlignment="1">
      <alignment horizontal="center" vertical="center" wrapText="1" readingOrder="1"/>
    </xf>
    <xf numFmtId="169" fontId="23" fillId="4" borderId="7" xfId="0" applyNumberFormat="1" applyFont="1" applyFill="1" applyBorder="1" applyAlignment="1">
      <alignment horizontal="center" vertical="center" wrapText="1" readingOrder="1"/>
    </xf>
    <xf numFmtId="169" fontId="23" fillId="4" borderId="11" xfId="0" applyNumberFormat="1" applyFont="1" applyFill="1" applyBorder="1" applyAlignment="1">
      <alignment horizontal="center" vertical="center" wrapText="1" readingOrder="1"/>
    </xf>
    <xf numFmtId="169" fontId="34" fillId="13" borderId="2" xfId="0" applyNumberFormat="1" applyFont="1" applyFill="1" applyBorder="1" applyAlignment="1">
      <alignment horizontal="center" vertical="center"/>
    </xf>
    <xf numFmtId="0" fontId="42" fillId="5" borderId="2" xfId="0" applyFont="1" applyFill="1" applyBorder="1" applyAlignment="1"/>
    <xf numFmtId="0" fontId="62" fillId="4" borderId="17" xfId="0" applyFont="1" applyFill="1" applyBorder="1" applyAlignment="1">
      <alignment horizontal="left" vertical="center" indent="1"/>
    </xf>
    <xf numFmtId="0" fontId="52" fillId="9" borderId="0" xfId="0" applyFont="1" applyFill="1" applyAlignment="1">
      <alignment horizontal="center" vertical="center"/>
    </xf>
    <xf numFmtId="169" fontId="47" fillId="4" borderId="10" xfId="0" applyNumberFormat="1" applyFont="1" applyFill="1" applyBorder="1" applyAlignment="1">
      <alignment horizontal="center" vertical="center"/>
    </xf>
    <xf numFmtId="169" fontId="47" fillId="4" borderId="0" xfId="0" applyNumberFormat="1" applyFont="1" applyFill="1" applyBorder="1" applyAlignment="1">
      <alignment horizontal="right" vertical="center" indent="1"/>
    </xf>
    <xf numFmtId="0" fontId="47" fillId="4" borderId="0" xfId="0" applyFont="1" applyFill="1" applyBorder="1" applyAlignment="1">
      <alignment horizontal="center" vertical="center" wrapText="1"/>
    </xf>
    <xf numFmtId="169" fontId="47" fillId="4" borderId="17" xfId="0" applyNumberFormat="1" applyFont="1" applyFill="1" applyBorder="1" applyAlignment="1">
      <alignment horizontal="center" vertical="center"/>
    </xf>
    <xf numFmtId="169" fontId="47" fillId="4" borderId="22" xfId="0" applyNumberFormat="1" applyFont="1" applyFill="1" applyBorder="1" applyAlignment="1">
      <alignment horizontal="center" vertical="center"/>
    </xf>
    <xf numFmtId="0" fontId="52" fillId="9" borderId="36" xfId="0" applyFont="1" applyFill="1" applyBorder="1" applyAlignment="1">
      <alignment horizontal="center" vertical="center"/>
    </xf>
    <xf numFmtId="169" fontId="47" fillId="4" borderId="6" xfId="0" applyNumberFormat="1" applyFont="1" applyFill="1" applyBorder="1" applyAlignment="1">
      <alignment horizontal="center" vertical="center"/>
    </xf>
    <xf numFmtId="169" fontId="47" fillId="4" borderId="16" xfId="0" applyNumberFormat="1" applyFont="1" applyFill="1" applyBorder="1" applyAlignment="1">
      <alignment horizontal="center" vertical="center"/>
    </xf>
    <xf numFmtId="169" fontId="47" fillId="4" borderId="10" xfId="0" applyNumberFormat="1" applyFont="1" applyFill="1" applyBorder="1" applyAlignment="1">
      <alignment horizontal="center" vertical="center"/>
    </xf>
    <xf numFmtId="169" fontId="47" fillId="4" borderId="0" xfId="0" applyNumberFormat="1" applyFont="1" applyFill="1" applyBorder="1" applyAlignment="1">
      <alignment horizontal="right" vertical="center" indent="1"/>
    </xf>
    <xf numFmtId="169" fontId="47" fillId="4" borderId="8" xfId="0" applyNumberFormat="1" applyFont="1" applyFill="1" applyBorder="1" applyAlignment="1">
      <alignment horizontal="center" vertical="center"/>
    </xf>
    <xf numFmtId="169" fontId="52" fillId="9" borderId="0" xfId="0" applyNumberFormat="1" applyFont="1" applyFill="1" applyBorder="1" applyAlignment="1">
      <alignment horizontal="center" vertical="center"/>
    </xf>
    <xf numFmtId="169" fontId="47" fillId="4" borderId="9" xfId="0" applyNumberFormat="1" applyFont="1" applyFill="1" applyBorder="1" applyAlignment="1">
      <alignment horizontal="center" vertical="center"/>
    </xf>
    <xf numFmtId="169" fontId="47" fillId="4" borderId="8" xfId="0" applyNumberFormat="1" applyFont="1" applyFill="1" applyBorder="1" applyAlignment="1">
      <alignment horizontal="center" vertical="center"/>
    </xf>
    <xf numFmtId="0" fontId="52" fillId="9" borderId="36" xfId="0" applyFont="1" applyFill="1" applyBorder="1" applyAlignment="1">
      <alignment horizontal="center" vertical="center"/>
    </xf>
    <xf numFmtId="169" fontId="47" fillId="4" borderId="3" xfId="0" applyNumberFormat="1" applyFont="1" applyFill="1" applyBorder="1" applyAlignment="1">
      <alignment horizontal="center" vertical="center"/>
    </xf>
    <xf numFmtId="169" fontId="52" fillId="9" borderId="0" xfId="0" applyNumberFormat="1" applyFont="1" applyFill="1" applyBorder="1" applyAlignment="1">
      <alignment horizontal="center" vertical="center"/>
    </xf>
    <xf numFmtId="169" fontId="47" fillId="4" borderId="0" xfId="0" applyNumberFormat="1" applyFont="1" applyFill="1" applyBorder="1" applyAlignment="1">
      <alignment horizontal="right" vertical="center" indent="1"/>
    </xf>
    <xf numFmtId="0" fontId="72" fillId="9" borderId="36" xfId="0" applyFont="1" applyFill="1" applyBorder="1" applyAlignment="1">
      <alignment horizontal="center" vertical="center"/>
    </xf>
    <xf numFmtId="169" fontId="47" fillId="4" borderId="0" xfId="0" applyNumberFormat="1" applyFont="1" applyFill="1" applyBorder="1" applyAlignment="1">
      <alignment vertical="center"/>
    </xf>
    <xf numFmtId="169" fontId="34" fillId="13" borderId="30" xfId="0" applyNumberFormat="1" applyFont="1" applyFill="1" applyBorder="1" applyAlignment="1">
      <alignment horizontal="center" vertical="center"/>
    </xf>
    <xf numFmtId="169" fontId="52" fillId="4" borderId="0" xfId="0" applyNumberFormat="1" applyFont="1" applyFill="1" applyBorder="1" applyAlignment="1">
      <alignment vertical="center"/>
    </xf>
    <xf numFmtId="0" fontId="46" fillId="5" borderId="2" xfId="0" applyFont="1" applyFill="1" applyBorder="1" applyAlignment="1">
      <alignment horizontal="right"/>
    </xf>
    <xf numFmtId="0" fontId="26" fillId="4" borderId="0" xfId="5" applyFill="1" applyBorder="1" applyAlignment="1">
      <alignment horizontal="left" vertical="center"/>
    </xf>
    <xf numFmtId="169" fontId="47" fillId="13" borderId="6" xfId="0" applyNumberFormat="1" applyFont="1" applyFill="1" applyBorder="1" applyAlignment="1">
      <alignment horizontal="center" vertical="center"/>
    </xf>
    <xf numFmtId="169" fontId="34" fillId="13" borderId="19" xfId="0" applyNumberFormat="1" applyFont="1" applyFill="1" applyBorder="1" applyAlignment="1">
      <alignment horizontal="center" vertical="center"/>
    </xf>
    <xf numFmtId="169" fontId="34" fillId="13" borderId="6" xfId="0" applyNumberFormat="1" applyFont="1" applyFill="1" applyBorder="1" applyAlignment="1">
      <alignment horizontal="center" vertical="center"/>
    </xf>
    <xf numFmtId="169" fontId="34" fillId="13" borderId="22" xfId="0" applyNumberFormat="1" applyFont="1" applyFill="1" applyBorder="1" applyAlignment="1">
      <alignment horizontal="center" vertical="center"/>
    </xf>
    <xf numFmtId="169" fontId="70" fillId="13" borderId="28" xfId="0" applyNumberFormat="1" applyFont="1" applyFill="1" applyBorder="1" applyAlignment="1">
      <alignment horizontal="center" vertical="center"/>
    </xf>
    <xf numFmtId="169" fontId="70" fillId="13" borderId="13" xfId="0" applyNumberFormat="1" applyFont="1" applyFill="1" applyBorder="1" applyAlignment="1">
      <alignment horizontal="center" vertical="center"/>
    </xf>
    <xf numFmtId="169" fontId="70" fillId="13" borderId="7" xfId="0" applyNumberFormat="1" applyFont="1" applyFill="1" applyBorder="1" applyAlignment="1">
      <alignment horizontal="center" vertical="center"/>
    </xf>
    <xf numFmtId="0" fontId="0" fillId="4" borderId="0" xfId="0" applyFill="1"/>
    <xf numFmtId="0" fontId="0" fillId="4" borderId="0" xfId="0" applyFill="1" applyBorder="1"/>
    <xf numFmtId="0" fontId="47" fillId="4" borderId="0" xfId="0" applyFont="1" applyFill="1" applyBorder="1" applyAlignment="1">
      <alignment horizontal="center" vertical="center"/>
    </xf>
    <xf numFmtId="0" fontId="62" fillId="4" borderId="0" xfId="0" applyFont="1" applyFill="1" applyBorder="1" applyAlignment="1">
      <alignment horizontal="left" vertical="center" indent="1"/>
    </xf>
    <xf numFmtId="0" fontId="47" fillId="4" borderId="0" xfId="0" applyFont="1" applyFill="1" applyBorder="1" applyAlignment="1">
      <alignment vertical="center"/>
    </xf>
    <xf numFmtId="169" fontId="34" fillId="13" borderId="19" xfId="0" applyNumberFormat="1" applyFont="1" applyFill="1" applyBorder="1" applyAlignment="1">
      <alignment horizontal="center" vertical="center" wrapText="1"/>
    </xf>
    <xf numFmtId="169" fontId="34" fillId="13" borderId="6" xfId="0" applyNumberFormat="1" applyFont="1" applyFill="1" applyBorder="1" applyAlignment="1">
      <alignment horizontal="center" vertical="center" wrapText="1"/>
    </xf>
    <xf numFmtId="169" fontId="34" fillId="13" borderId="22" xfId="0" applyNumberFormat="1" applyFont="1" applyFill="1" applyBorder="1" applyAlignment="1">
      <alignment horizontal="center" vertical="center" wrapText="1"/>
    </xf>
    <xf numFmtId="169" fontId="70" fillId="13" borderId="28" xfId="0" applyNumberFormat="1" applyFont="1" applyFill="1" applyBorder="1" applyAlignment="1">
      <alignment horizontal="center" vertical="center" wrapText="1"/>
    </xf>
    <xf numFmtId="169" fontId="70" fillId="13" borderId="7" xfId="0" applyNumberFormat="1" applyFont="1" applyFill="1" applyBorder="1" applyAlignment="1">
      <alignment horizontal="center" vertical="center" wrapText="1"/>
    </xf>
    <xf numFmtId="169" fontId="70" fillId="13" borderId="13" xfId="0" applyNumberFormat="1" applyFont="1" applyFill="1" applyBorder="1" applyAlignment="1">
      <alignment horizontal="center" vertical="center" wrapText="1"/>
    </xf>
    <xf numFmtId="169" fontId="34" fillId="4" borderId="20" xfId="0" applyNumberFormat="1" applyFont="1" applyFill="1" applyBorder="1" applyAlignment="1">
      <alignment horizontal="center" vertical="center"/>
    </xf>
    <xf numFmtId="0" fontId="34" fillId="4" borderId="35" xfId="0" applyFont="1" applyFill="1" applyBorder="1" applyAlignment="1">
      <alignment horizontal="center" vertical="center"/>
    </xf>
    <xf numFmtId="0" fontId="34" fillId="4" borderId="12" xfId="0" applyFont="1" applyFill="1" applyBorder="1" applyAlignment="1">
      <alignment horizontal="center" vertical="center"/>
    </xf>
    <xf numFmtId="169" fontId="47" fillId="4" borderId="12" xfId="0" applyNumberFormat="1" applyFont="1" applyFill="1" applyBorder="1" applyAlignment="1">
      <alignment horizontal="center" vertical="center"/>
    </xf>
    <xf numFmtId="169" fontId="47" fillId="4" borderId="13" xfId="0" applyNumberFormat="1" applyFont="1" applyFill="1" applyBorder="1" applyAlignment="1">
      <alignment horizontal="center" vertical="center"/>
    </xf>
    <xf numFmtId="169" fontId="47" fillId="4" borderId="0" xfId="0" applyNumberFormat="1" applyFont="1" applyFill="1" applyBorder="1" applyAlignment="1">
      <alignment horizontal="center" vertical="center"/>
    </xf>
    <xf numFmtId="0" fontId="34" fillId="4" borderId="11" xfId="0" applyFont="1" applyFill="1" applyBorder="1" applyAlignment="1">
      <alignment horizontal="left" vertical="center" wrapText="1" indent="1"/>
    </xf>
    <xf numFmtId="0" fontId="47" fillId="4" borderId="5" xfId="0" applyFont="1" applyFill="1" applyBorder="1" applyAlignment="1">
      <alignment horizontal="center" vertical="center"/>
    </xf>
    <xf numFmtId="0" fontId="52" fillId="17" borderId="26" xfId="0" applyFont="1" applyFill="1" applyBorder="1" applyAlignment="1">
      <alignment horizontal="center" vertical="center"/>
    </xf>
    <xf numFmtId="169" fontId="52" fillId="17" borderId="102" xfId="0" applyNumberFormat="1" applyFont="1" applyFill="1" applyBorder="1" applyAlignment="1">
      <alignment horizontal="center" vertical="center"/>
    </xf>
    <xf numFmtId="0" fontId="52" fillId="24" borderId="0" xfId="0" applyFont="1" applyFill="1" applyBorder="1" applyAlignment="1">
      <alignment horizontal="center" vertical="center"/>
    </xf>
    <xf numFmtId="169" fontId="52" fillId="24" borderId="103" xfId="0" applyNumberFormat="1" applyFont="1" applyFill="1" applyBorder="1" applyAlignment="1">
      <alignment horizontal="center" vertical="center"/>
    </xf>
    <xf numFmtId="0" fontId="45" fillId="9" borderId="0" xfId="0" applyFont="1" applyFill="1" applyBorder="1" applyAlignment="1">
      <alignment horizontal="center" vertical="center" wrapText="1"/>
    </xf>
    <xf numFmtId="0" fontId="57" fillId="9" borderId="36" xfId="0" applyFont="1" applyFill="1" applyBorder="1" applyAlignment="1">
      <alignment horizontal="center" vertical="center" wrapText="1"/>
    </xf>
    <xf numFmtId="0" fontId="30" fillId="9" borderId="0" xfId="0" applyFont="1" applyFill="1"/>
    <xf numFmtId="0" fontId="10" fillId="9" borderId="36" xfId="0" applyFont="1" applyFill="1" applyBorder="1" applyAlignment="1">
      <alignment vertical="center"/>
    </xf>
    <xf numFmtId="169" fontId="19" fillId="4" borderId="18" xfId="0" applyNumberFormat="1" applyFont="1" applyFill="1" applyBorder="1" applyAlignment="1">
      <alignment horizontal="center" vertical="center"/>
    </xf>
    <xf numFmtId="169" fontId="19" fillId="4" borderId="106" xfId="0" applyNumberFormat="1" applyFont="1" applyFill="1" applyBorder="1" applyAlignment="1">
      <alignment horizontal="center" vertical="center"/>
    </xf>
    <xf numFmtId="169" fontId="19" fillId="4" borderId="30" xfId="0" applyNumberFormat="1" applyFont="1" applyFill="1" applyBorder="1" applyAlignment="1">
      <alignment horizontal="center" vertical="center"/>
    </xf>
    <xf numFmtId="169" fontId="19" fillId="4" borderId="30" xfId="0" applyNumberFormat="1" applyFont="1" applyFill="1" applyBorder="1" applyAlignment="1">
      <alignment horizontal="center" vertical="center"/>
    </xf>
    <xf numFmtId="169" fontId="19" fillId="4" borderId="30" xfId="0" applyNumberFormat="1" applyFont="1" applyFill="1" applyBorder="1" applyAlignment="1">
      <alignment horizontal="center" vertical="center"/>
    </xf>
    <xf numFmtId="171" fontId="19" fillId="4" borderId="104" xfId="0" applyNumberFormat="1" applyFont="1" applyFill="1" applyBorder="1" applyAlignment="1">
      <alignment horizontal="center" vertical="center"/>
    </xf>
    <xf numFmtId="171" fontId="19" fillId="4" borderId="107" xfId="0" applyNumberFormat="1" applyFont="1" applyFill="1" applyBorder="1" applyAlignment="1">
      <alignment horizontal="center" vertical="center"/>
    </xf>
    <xf numFmtId="171" fontId="19" fillId="4" borderId="62" xfId="0" applyNumberFormat="1" applyFont="1" applyFill="1" applyBorder="1" applyAlignment="1">
      <alignment horizontal="center" vertical="center"/>
    </xf>
    <xf numFmtId="171" fontId="19" fillId="4" borderId="105" xfId="0" applyNumberFormat="1" applyFont="1" applyFill="1" applyBorder="1" applyAlignment="1">
      <alignment horizontal="center" vertical="center"/>
    </xf>
    <xf numFmtId="171" fontId="19" fillId="4" borderId="108" xfId="0" applyNumberFormat="1" applyFont="1" applyFill="1" applyBorder="1" applyAlignment="1">
      <alignment horizontal="center" vertical="center"/>
    </xf>
    <xf numFmtId="171" fontId="19" fillId="4" borderId="23" xfId="0" applyNumberFormat="1" applyFont="1" applyFill="1" applyBorder="1" applyAlignment="1">
      <alignment horizontal="center" vertical="center"/>
    </xf>
    <xf numFmtId="169" fontId="34" fillId="4" borderId="19" xfId="0" applyNumberFormat="1" applyFont="1" applyFill="1" applyBorder="1" applyAlignment="1">
      <alignment horizontal="center" vertical="center"/>
    </xf>
    <xf numFmtId="169" fontId="34" fillId="4" borderId="6" xfId="0" applyNumberFormat="1" applyFont="1" applyFill="1" applyBorder="1" applyAlignment="1">
      <alignment horizontal="center" vertical="center"/>
    </xf>
    <xf numFmtId="169" fontId="34" fillId="4" borderId="18" xfId="0" applyNumberFormat="1" applyFont="1" applyFill="1" applyBorder="1" applyAlignment="1">
      <alignment horizontal="center" vertical="center"/>
    </xf>
    <xf numFmtId="169" fontId="34" fillId="4" borderId="2" xfId="0" applyNumberFormat="1" applyFont="1" applyFill="1" applyBorder="1" applyAlignment="1">
      <alignment horizontal="center" vertical="center"/>
    </xf>
    <xf numFmtId="169" fontId="19" fillId="0" borderId="23" xfId="31" applyNumberFormat="1" applyFont="1" applyFill="1" applyBorder="1" applyAlignment="1">
      <alignment horizontal="center" vertical="center"/>
    </xf>
    <xf numFmtId="169" fontId="19" fillId="4" borderId="10" xfId="0" applyNumberFormat="1" applyFont="1" applyFill="1" applyBorder="1" applyAlignment="1">
      <alignment horizontal="center" vertical="center"/>
    </xf>
    <xf numFmtId="0" fontId="34" fillId="4" borderId="11" xfId="0" applyFont="1" applyFill="1" applyBorder="1" applyAlignment="1">
      <alignment horizontal="left" vertical="center" wrapText="1" indent="1"/>
    </xf>
    <xf numFmtId="0" fontId="34" fillId="4" borderId="23" xfId="0" applyFont="1" applyFill="1" applyBorder="1" applyAlignment="1">
      <alignment horizontal="left" vertical="center" wrapText="1" indent="1"/>
    </xf>
    <xf numFmtId="0" fontId="30" fillId="4" borderId="18" xfId="0" applyFont="1" applyFill="1" applyBorder="1" applyAlignment="1">
      <alignment horizontal="center" vertical="center"/>
    </xf>
    <xf numFmtId="169" fontId="34" fillId="4" borderId="21" xfId="0" applyNumberFormat="1" applyFont="1" applyFill="1" applyBorder="1" applyAlignment="1">
      <alignment horizontal="center" vertical="center"/>
    </xf>
    <xf numFmtId="0" fontId="30" fillId="4" borderId="2" xfId="0" applyFont="1" applyFill="1" applyBorder="1" applyAlignment="1">
      <alignment horizontal="center" vertical="center"/>
    </xf>
    <xf numFmtId="169" fontId="34" fillId="4" borderId="33" xfId="0" applyNumberFormat="1" applyFont="1" applyFill="1" applyBorder="1" applyAlignment="1">
      <alignment horizontal="center" vertical="center"/>
    </xf>
    <xf numFmtId="169" fontId="34" fillId="13" borderId="18" xfId="0" applyNumberFormat="1" applyFont="1" applyFill="1" applyBorder="1" applyAlignment="1">
      <alignment horizontal="center" vertical="center"/>
    </xf>
    <xf numFmtId="169" fontId="34" fillId="13" borderId="33" xfId="0" applyNumberFormat="1" applyFont="1" applyFill="1" applyBorder="1" applyAlignment="1">
      <alignment horizontal="center" vertical="center"/>
    </xf>
    <xf numFmtId="169" fontId="34" fillId="13" borderId="21" xfId="0" applyNumberFormat="1" applyFont="1" applyFill="1" applyBorder="1" applyAlignment="1">
      <alignment horizontal="center" vertical="center"/>
    </xf>
    <xf numFmtId="169" fontId="34" fillId="13" borderId="0" xfId="0" applyNumberFormat="1" applyFont="1" applyFill="1" applyAlignment="1">
      <alignment horizontal="center" vertical="center"/>
    </xf>
    <xf numFmtId="169" fontId="34" fillId="13" borderId="31" xfId="0" applyNumberFormat="1" applyFont="1" applyFill="1" applyBorder="1" applyAlignment="1">
      <alignment horizontal="center" vertical="center"/>
    </xf>
    <xf numFmtId="0" fontId="76" fillId="4" borderId="11" xfId="0" applyFont="1" applyFill="1" applyBorder="1" applyAlignment="1">
      <alignment horizontal="center" vertical="center"/>
    </xf>
    <xf numFmtId="0" fontId="76" fillId="13" borderId="1" xfId="0" applyFont="1" applyFill="1" applyBorder="1" applyAlignment="1">
      <alignment horizontal="center" vertical="center"/>
    </xf>
    <xf numFmtId="0" fontId="76" fillId="13" borderId="13" xfId="0" applyFont="1" applyFill="1" applyBorder="1" applyAlignment="1">
      <alignment horizontal="center" vertical="center"/>
    </xf>
    <xf numFmtId="0" fontId="76" fillId="4" borderId="1" xfId="0" applyFont="1" applyFill="1" applyBorder="1" applyAlignment="1">
      <alignment horizontal="center" vertical="center"/>
    </xf>
    <xf numFmtId="0" fontId="76" fillId="13" borderId="28" xfId="0" applyFont="1" applyFill="1" applyBorder="1" applyAlignment="1">
      <alignment horizontal="center" vertical="center"/>
    </xf>
    <xf numFmtId="0" fontId="76" fillId="13" borderId="7" xfId="0" applyFont="1" applyFill="1" applyBorder="1" applyAlignment="1">
      <alignment horizontal="center" vertical="center"/>
    </xf>
    <xf numFmtId="0" fontId="76" fillId="13" borderId="11" xfId="0" applyFont="1" applyFill="1" applyBorder="1" applyAlignment="1">
      <alignment horizontal="center" vertical="center"/>
    </xf>
    <xf numFmtId="0" fontId="76" fillId="4" borderId="28" xfId="0" applyFont="1" applyFill="1" applyBorder="1" applyAlignment="1">
      <alignment horizontal="center" vertical="center"/>
    </xf>
    <xf numFmtId="0" fontId="76" fillId="4" borderId="7" xfId="0" applyFont="1" applyFill="1" applyBorder="1" applyAlignment="1">
      <alignment horizontal="center" vertical="center"/>
    </xf>
    <xf numFmtId="0" fontId="76" fillId="4" borderId="23" xfId="0" applyFont="1" applyFill="1" applyBorder="1" applyAlignment="1">
      <alignment horizontal="center" vertical="center"/>
    </xf>
    <xf numFmtId="0" fontId="77" fillId="4" borderId="11" xfId="0" applyFont="1" applyFill="1" applyBorder="1" applyAlignment="1">
      <alignment horizontal="center" vertical="center"/>
    </xf>
    <xf numFmtId="0" fontId="77" fillId="13" borderId="1" xfId="0" applyFont="1" applyFill="1" applyBorder="1" applyAlignment="1">
      <alignment horizontal="center" vertical="center"/>
    </xf>
    <xf numFmtId="0" fontId="77" fillId="13" borderId="13" xfId="0" applyFont="1" applyFill="1" applyBorder="1" applyAlignment="1">
      <alignment horizontal="center" vertical="center"/>
    </xf>
    <xf numFmtId="0" fontId="77" fillId="4" borderId="1" xfId="0" applyFont="1" applyFill="1" applyBorder="1" applyAlignment="1">
      <alignment horizontal="center" vertical="center"/>
    </xf>
    <xf numFmtId="0" fontId="77" fillId="13" borderId="28" xfId="0" applyFont="1" applyFill="1" applyBorder="1" applyAlignment="1">
      <alignment horizontal="center" vertical="center"/>
    </xf>
    <xf numFmtId="0" fontId="77" fillId="13" borderId="7" xfId="0" applyFont="1" applyFill="1" applyBorder="1" applyAlignment="1">
      <alignment horizontal="center" vertical="center"/>
    </xf>
    <xf numFmtId="0" fontId="77" fillId="13" borderId="11" xfId="0" applyFont="1" applyFill="1" applyBorder="1" applyAlignment="1">
      <alignment horizontal="center" vertical="center"/>
    </xf>
    <xf numFmtId="0" fontId="78" fillId="4" borderId="11" xfId="0" applyFont="1" applyFill="1" applyBorder="1" applyAlignment="1">
      <alignment horizontal="center" vertical="center"/>
    </xf>
    <xf numFmtId="0" fontId="78" fillId="13" borderId="28" xfId="0" applyFont="1" applyFill="1" applyBorder="1" applyAlignment="1">
      <alignment horizontal="center" vertical="center"/>
    </xf>
    <xf numFmtId="0" fontId="78" fillId="13" borderId="7" xfId="0" applyFont="1" applyFill="1" applyBorder="1" applyAlignment="1">
      <alignment horizontal="center" vertical="center"/>
    </xf>
    <xf numFmtId="0" fontId="78" fillId="13" borderId="11" xfId="0" applyFont="1" applyFill="1" applyBorder="1" applyAlignment="1">
      <alignment horizontal="center" vertical="center"/>
    </xf>
    <xf numFmtId="0" fontId="77" fillId="4" borderId="23" xfId="0" applyFont="1" applyFill="1" applyBorder="1" applyAlignment="1">
      <alignment horizontal="center" vertical="center"/>
    </xf>
    <xf numFmtId="6" fontId="76" fillId="4" borderId="23" xfId="0" applyNumberFormat="1" applyFont="1" applyFill="1" applyBorder="1" applyAlignment="1">
      <alignment horizontal="center" vertical="center"/>
    </xf>
    <xf numFmtId="6" fontId="76" fillId="4" borderId="28" xfId="0" applyNumberFormat="1" applyFont="1" applyFill="1" applyBorder="1" applyAlignment="1">
      <alignment horizontal="center" vertical="center"/>
    </xf>
    <xf numFmtId="6" fontId="76" fillId="4" borderId="7" xfId="0" applyNumberFormat="1" applyFont="1" applyFill="1" applyBorder="1" applyAlignment="1">
      <alignment horizontal="center" vertical="center"/>
    </xf>
    <xf numFmtId="6" fontId="76" fillId="4" borderId="11" xfId="0" applyNumberFormat="1" applyFont="1" applyFill="1" applyBorder="1" applyAlignment="1">
      <alignment horizontal="center" vertical="center"/>
    </xf>
    <xf numFmtId="6" fontId="76" fillId="13" borderId="28" xfId="0" applyNumberFormat="1" applyFont="1" applyFill="1" applyBorder="1" applyAlignment="1">
      <alignment horizontal="center" vertical="center"/>
    </xf>
    <xf numFmtId="6" fontId="76" fillId="13" borderId="7" xfId="0" applyNumberFormat="1" applyFont="1" applyFill="1" applyBorder="1" applyAlignment="1">
      <alignment horizontal="center" vertical="center"/>
    </xf>
    <xf numFmtId="6" fontId="76" fillId="13" borderId="11" xfId="0" applyNumberFormat="1" applyFont="1" applyFill="1" applyBorder="1" applyAlignment="1">
      <alignment horizontal="center" vertical="center"/>
    </xf>
    <xf numFmtId="6" fontId="76" fillId="13" borderId="1" xfId="0" applyNumberFormat="1" applyFont="1" applyFill="1" applyBorder="1" applyAlignment="1">
      <alignment horizontal="center" vertical="center"/>
    </xf>
    <xf numFmtId="0" fontId="30" fillId="4" borderId="0" xfId="0" applyFont="1" applyFill="1" applyAlignment="1">
      <alignment horizontal="center"/>
    </xf>
    <xf numFmtId="169" fontId="19" fillId="0" borderId="105" xfId="31" applyNumberFormat="1" applyFont="1" applyFill="1" applyBorder="1" applyAlignment="1">
      <alignment horizontal="center" vertical="center"/>
    </xf>
    <xf numFmtId="0" fontId="34" fillId="4" borderId="0" xfId="0" applyFont="1" applyFill="1" applyBorder="1"/>
    <xf numFmtId="165" fontId="19" fillId="4" borderId="11" xfId="0" applyNumberFormat="1" applyFont="1" applyFill="1" applyBorder="1" applyAlignment="1">
      <alignment horizontal="center" vertical="center"/>
    </xf>
    <xf numFmtId="169" fontId="19" fillId="13" borderId="62" xfId="31" applyNumberFormat="1" applyFont="1" applyFill="1" applyBorder="1" applyAlignment="1">
      <alignment horizontal="center" vertical="center"/>
    </xf>
    <xf numFmtId="0" fontId="79" fillId="4" borderId="0" xfId="0" applyFont="1" applyFill="1" applyBorder="1" applyAlignment="1">
      <alignment horizontal="left" vertical="center" indent="1"/>
    </xf>
    <xf numFmtId="0" fontId="71" fillId="4" borderId="2" xfId="0" applyFont="1" applyFill="1" applyBorder="1" applyAlignment="1">
      <alignment horizontal="left" vertical="center" wrapText="1" indent="1"/>
    </xf>
    <xf numFmtId="171" fontId="71" fillId="4" borderId="0" xfId="0" applyNumberFormat="1" applyFont="1" applyFill="1" applyBorder="1" applyAlignment="1">
      <alignment horizontal="center" vertical="center"/>
    </xf>
    <xf numFmtId="0" fontId="34" fillId="4" borderId="99" xfId="0" applyFont="1" applyFill="1" applyBorder="1" applyAlignment="1">
      <alignment vertical="center" textRotation="90"/>
    </xf>
    <xf numFmtId="0" fontId="52" fillId="9" borderId="109" xfId="0" applyFont="1" applyFill="1" applyBorder="1" applyAlignment="1">
      <alignment horizontal="left" vertical="center" wrapText="1" indent="1"/>
    </xf>
    <xf numFmtId="169" fontId="19" fillId="0" borderId="62" xfId="31" applyNumberFormat="1" applyFont="1" applyFill="1" applyBorder="1" applyAlignment="1">
      <alignment horizontal="center" vertical="center"/>
    </xf>
    <xf numFmtId="169" fontId="19" fillId="0" borderId="104" xfId="31" applyNumberFormat="1" applyFont="1" applyFill="1" applyBorder="1" applyAlignment="1">
      <alignment horizontal="center" vertical="center"/>
    </xf>
    <xf numFmtId="169" fontId="19" fillId="0" borderId="11" xfId="31" applyNumberFormat="1" applyFont="1" applyFill="1" applyBorder="1" applyAlignment="1">
      <alignment horizontal="center" vertical="center"/>
    </xf>
    <xf numFmtId="169" fontId="19" fillId="4" borderId="111" xfId="0" applyNumberFormat="1" applyFont="1" applyFill="1" applyBorder="1" applyAlignment="1">
      <alignment horizontal="center" vertical="center"/>
    </xf>
    <xf numFmtId="171" fontId="19" fillId="4" borderId="1" xfId="0" applyNumberFormat="1" applyFont="1" applyFill="1" applyBorder="1" applyAlignment="1">
      <alignment horizontal="center" vertical="center"/>
    </xf>
    <xf numFmtId="0" fontId="45" fillId="25" borderId="0" xfId="0" applyFont="1" applyFill="1" applyBorder="1" applyAlignment="1">
      <alignment horizontal="center" vertical="center"/>
    </xf>
    <xf numFmtId="0" fontId="45" fillId="25" borderId="0" xfId="0" applyFont="1" applyFill="1" applyBorder="1" applyAlignment="1">
      <alignment horizontal="center" vertical="center" wrapText="1"/>
    </xf>
    <xf numFmtId="0" fontId="45" fillId="25" borderId="52" xfId="0" applyFont="1" applyFill="1" applyBorder="1" applyAlignment="1">
      <alignment horizontal="center" vertical="center"/>
    </xf>
    <xf numFmtId="171" fontId="19" fillId="4" borderId="112" xfId="0" applyNumberFormat="1" applyFont="1" applyFill="1" applyBorder="1" applyAlignment="1">
      <alignment horizontal="center" vertical="center"/>
    </xf>
    <xf numFmtId="171" fontId="19" fillId="4" borderId="16" xfId="0" applyNumberFormat="1" applyFont="1" applyFill="1" applyBorder="1" applyAlignment="1">
      <alignment horizontal="center" vertical="center"/>
    </xf>
    <xf numFmtId="169" fontId="19" fillId="13" borderId="23" xfId="31" applyNumberFormat="1" applyFont="1" applyFill="1" applyBorder="1" applyAlignment="1">
      <alignment horizontal="center" vertical="center"/>
    </xf>
    <xf numFmtId="0" fontId="45" fillId="15" borderId="77" xfId="0" applyFont="1" applyFill="1" applyBorder="1" applyAlignment="1">
      <alignment vertical="center" wrapText="1"/>
    </xf>
    <xf numFmtId="0" fontId="45" fillId="15" borderId="36" xfId="0" applyFont="1" applyFill="1" applyBorder="1" applyAlignment="1">
      <alignment vertical="center" wrapText="1"/>
    </xf>
    <xf numFmtId="0" fontId="45" fillId="0" borderId="36" xfId="0" applyFont="1" applyFill="1" applyBorder="1" applyAlignment="1">
      <alignment vertical="center" wrapText="1"/>
    </xf>
    <xf numFmtId="0" fontId="45" fillId="15" borderId="51" xfId="0" applyFont="1" applyFill="1" applyBorder="1" applyAlignment="1">
      <alignment horizontal="center" vertical="center" wrapText="1"/>
    </xf>
    <xf numFmtId="169" fontId="19" fillId="0" borderId="15" xfId="31" applyNumberFormat="1" applyFont="1" applyFill="1" applyBorder="1" applyAlignment="1">
      <alignment horizontal="center" vertical="center"/>
    </xf>
    <xf numFmtId="0" fontId="30" fillId="4" borderId="16" xfId="0" applyFont="1" applyFill="1" applyBorder="1"/>
    <xf numFmtId="169" fontId="34" fillId="13" borderId="17" xfId="0" applyNumberFormat="1" applyFont="1" applyFill="1" applyBorder="1" applyAlignment="1">
      <alignment horizontal="center" vertical="center" wrapText="1"/>
    </xf>
    <xf numFmtId="169" fontId="70" fillId="13" borderId="12" xfId="0" applyNumberFormat="1" applyFont="1" applyFill="1" applyBorder="1" applyAlignment="1">
      <alignment horizontal="center" vertical="center" wrapText="1"/>
    </xf>
    <xf numFmtId="169" fontId="34" fillId="13" borderId="17" xfId="0" applyNumberFormat="1" applyFont="1" applyFill="1" applyBorder="1" applyAlignment="1">
      <alignment horizontal="center" vertical="center"/>
    </xf>
    <xf numFmtId="0" fontId="76" fillId="13" borderId="12" xfId="0" applyFont="1" applyFill="1" applyBorder="1" applyAlignment="1">
      <alignment horizontal="center" vertical="center"/>
    </xf>
    <xf numFmtId="0" fontId="77" fillId="13" borderId="12" xfId="0" applyFont="1" applyFill="1" applyBorder="1" applyAlignment="1">
      <alignment horizontal="center" vertical="center"/>
    </xf>
    <xf numFmtId="169" fontId="47" fillId="4" borderId="8" xfId="8" applyNumberFormat="1" applyFont="1" applyFill="1" applyBorder="1" applyAlignment="1">
      <alignment horizontal="center" vertical="center"/>
    </xf>
    <xf numFmtId="169" fontId="47" fillId="4" borderId="12" xfId="8" applyNumberFormat="1" applyFont="1" applyFill="1" applyBorder="1" applyAlignment="1">
      <alignment horizontal="center" vertical="center"/>
    </xf>
    <xf numFmtId="169" fontId="47" fillId="4" borderId="9" xfId="8" applyNumberFormat="1" applyFont="1" applyFill="1" applyBorder="1" applyAlignment="1">
      <alignment horizontal="center" vertical="center"/>
    </xf>
    <xf numFmtId="169" fontId="47" fillId="4" borderId="7" xfId="8" applyNumberFormat="1" applyFont="1" applyFill="1" applyBorder="1" applyAlignment="1">
      <alignment horizontal="center" vertical="center"/>
    </xf>
    <xf numFmtId="169" fontId="47" fillId="4" borderId="10" xfId="8" applyNumberFormat="1" applyFont="1" applyFill="1" applyBorder="1" applyAlignment="1">
      <alignment horizontal="center" vertical="center"/>
    </xf>
    <xf numFmtId="169" fontId="47" fillId="4" borderId="11" xfId="8" applyNumberFormat="1" applyFont="1" applyFill="1" applyBorder="1" applyAlignment="1">
      <alignment horizontal="center" vertical="center"/>
    </xf>
    <xf numFmtId="0" fontId="47" fillId="4" borderId="17" xfId="11" applyFont="1" applyFill="1" applyBorder="1" applyAlignment="1">
      <alignment horizontal="left" vertical="center" indent="1"/>
    </xf>
    <xf numFmtId="0" fontId="47" fillId="4" borderId="6" xfId="11" applyFont="1" applyFill="1" applyBorder="1" applyAlignment="1">
      <alignment horizontal="left" vertical="center" indent="1"/>
    </xf>
    <xf numFmtId="0" fontId="47" fillId="4" borderId="21" xfId="11" applyFont="1" applyFill="1" applyBorder="1" applyAlignment="1">
      <alignment horizontal="left" vertical="center" indent="1"/>
    </xf>
    <xf numFmtId="0" fontId="47" fillId="4" borderId="2" xfId="11" applyFont="1" applyFill="1" applyBorder="1" applyAlignment="1">
      <alignment horizontal="left" vertical="center" indent="1"/>
    </xf>
    <xf numFmtId="0" fontId="55" fillId="9" borderId="37" xfId="0" applyFont="1" applyFill="1" applyBorder="1" applyAlignment="1">
      <alignment horizontal="center" vertical="center" wrapText="1"/>
    </xf>
    <xf numFmtId="0" fontId="55" fillId="9" borderId="50" xfId="0" applyFont="1" applyFill="1" applyBorder="1" applyAlignment="1">
      <alignment horizontal="center" vertical="center" wrapText="1"/>
    </xf>
    <xf numFmtId="0" fontId="19" fillId="0" borderId="113" xfId="0" applyFont="1" applyBorder="1" applyAlignment="1">
      <alignment horizontal="left" vertical="center" indent="1"/>
    </xf>
    <xf numFmtId="0" fontId="19" fillId="0" borderId="15" xfId="0" applyFont="1" applyBorder="1" applyAlignment="1">
      <alignment horizontal="left" vertical="center" indent="1"/>
    </xf>
    <xf numFmtId="0" fontId="19" fillId="0" borderId="15" xfId="0" applyFont="1" applyBorder="1" applyAlignment="1">
      <alignment horizontal="left" vertical="center" wrapText="1" indent="1"/>
    </xf>
    <xf numFmtId="0" fontId="19" fillId="4" borderId="15" xfId="0" applyFont="1" applyFill="1" applyBorder="1" applyAlignment="1">
      <alignment horizontal="left" vertical="center" wrapText="1" indent="1"/>
    </xf>
    <xf numFmtId="49" fontId="19" fillId="0" borderId="15" xfId="0" applyNumberFormat="1" applyFont="1" applyBorder="1" applyAlignment="1">
      <alignment horizontal="center" vertical="center"/>
    </xf>
    <xf numFmtId="169" fontId="47" fillId="4" borderId="0" xfId="0" applyNumberFormat="1" applyFont="1" applyFill="1" applyBorder="1" applyAlignment="1">
      <alignment horizontal="right" vertical="center" indent="1"/>
    </xf>
    <xf numFmtId="0" fontId="62" fillId="4" borderId="6" xfId="0" applyFont="1" applyFill="1" applyBorder="1" applyAlignment="1">
      <alignment horizontal="left" vertical="center" indent="1"/>
    </xf>
    <xf numFmtId="169" fontId="47" fillId="4" borderId="24" xfId="0" applyNumberFormat="1" applyFont="1" applyFill="1" applyBorder="1" applyAlignment="1">
      <alignment horizontal="center" vertical="center"/>
    </xf>
    <xf numFmtId="0" fontId="62" fillId="4" borderId="22" xfId="0" applyFont="1" applyFill="1" applyBorder="1" applyAlignment="1">
      <alignment horizontal="left" vertical="center" indent="1"/>
    </xf>
    <xf numFmtId="169" fontId="47" fillId="4" borderId="3" xfId="0" applyNumberFormat="1" applyFont="1" applyFill="1" applyBorder="1" applyAlignment="1">
      <alignment horizontal="center" vertical="center"/>
    </xf>
    <xf numFmtId="169" fontId="47" fillId="4" borderId="18" xfId="0" applyNumberFormat="1" applyFont="1" applyFill="1" applyBorder="1" applyAlignment="1">
      <alignment horizontal="center" vertical="center"/>
    </xf>
    <xf numFmtId="0" fontId="52" fillId="9" borderId="0" xfId="0" applyFont="1" applyFill="1" applyBorder="1" applyAlignment="1">
      <alignment horizontal="center" vertical="center"/>
    </xf>
    <xf numFmtId="0" fontId="19" fillId="0" borderId="10" xfId="0" applyFont="1" applyBorder="1" applyAlignment="1">
      <alignment horizontal="left" vertical="center" indent="1"/>
    </xf>
    <xf numFmtId="0" fontId="19" fillId="0" borderId="113" xfId="0" applyFont="1" applyBorder="1" applyAlignment="1">
      <alignment horizontal="left" vertical="center" wrapText="1" indent="1"/>
    </xf>
    <xf numFmtId="0" fontId="34" fillId="4" borderId="2" xfId="0" applyFont="1" applyFill="1" applyBorder="1" applyAlignment="1">
      <alignment horizontal="left" vertical="center" wrapText="1" indent="1"/>
    </xf>
    <xf numFmtId="0" fontId="34" fillId="4" borderId="29" xfId="0" applyFont="1" applyFill="1" applyBorder="1" applyAlignment="1">
      <alignment horizontal="left" vertical="center" wrapText="1" indent="1"/>
    </xf>
    <xf numFmtId="169" fontId="23" fillId="4" borderId="8" xfId="0" applyNumberFormat="1" applyFont="1" applyFill="1" applyBorder="1" applyAlignment="1">
      <alignment horizontal="center" vertical="center"/>
    </xf>
    <xf numFmtId="0" fontId="73" fillId="0" borderId="0" xfId="0" applyFont="1" applyAlignment="1">
      <alignment horizontal="left" vertical="center"/>
    </xf>
    <xf numFmtId="0" fontId="34" fillId="4" borderId="15" xfId="0" applyFont="1" applyFill="1" applyBorder="1" applyAlignment="1">
      <alignment vertical="center" wrapText="1"/>
    </xf>
    <xf numFmtId="0" fontId="45" fillId="9" borderId="116" xfId="0" applyFont="1" applyFill="1" applyBorder="1" applyAlignment="1">
      <alignment horizontal="center" vertical="center"/>
    </xf>
    <xf numFmtId="3" fontId="34" fillId="4" borderId="12" xfId="0" applyNumberFormat="1" applyFont="1" applyFill="1" applyBorder="1" applyAlignment="1">
      <alignment horizontal="right" vertical="center" wrapText="1" indent="1"/>
    </xf>
    <xf numFmtId="3" fontId="34" fillId="4" borderId="120" xfId="0" applyNumberFormat="1" applyFont="1" applyFill="1" applyBorder="1" applyAlignment="1">
      <alignment horizontal="right" vertical="center" wrapText="1" indent="1"/>
    </xf>
    <xf numFmtId="0" fontId="19" fillId="4" borderId="6" xfId="0" applyFont="1" applyFill="1" applyBorder="1" applyAlignment="1">
      <alignment horizontal="left" vertical="center" indent="1"/>
    </xf>
    <xf numFmtId="0" fontId="19" fillId="4" borderId="17" xfId="0" applyFont="1" applyFill="1" applyBorder="1" applyAlignment="1">
      <alignment horizontal="left" vertical="center" indent="1"/>
    </xf>
    <xf numFmtId="0" fontId="45" fillId="9" borderId="0" xfId="0" applyFont="1" applyFill="1" applyBorder="1" applyAlignment="1">
      <alignment horizontal="center" vertical="center" wrapText="1"/>
    </xf>
    <xf numFmtId="0" fontId="34" fillId="16" borderId="1" xfId="0" applyFont="1" applyFill="1" applyBorder="1" applyAlignment="1">
      <alignment horizontal="center" vertical="center" textRotation="90"/>
    </xf>
    <xf numFmtId="169" fontId="19" fillId="4" borderId="6" xfId="0" applyNumberFormat="1" applyFont="1" applyFill="1" applyBorder="1" applyAlignment="1">
      <alignment horizontal="center" vertical="center"/>
    </xf>
    <xf numFmtId="169" fontId="19" fillId="4" borderId="21" xfId="0" applyNumberFormat="1" applyFont="1" applyFill="1" applyBorder="1" applyAlignment="1">
      <alignment horizontal="center" vertical="center"/>
    </xf>
    <xf numFmtId="169" fontId="19" fillId="4" borderId="29" xfId="0" applyNumberFormat="1" applyFont="1" applyFill="1" applyBorder="1" applyAlignment="1">
      <alignment horizontal="center" vertical="center"/>
    </xf>
    <xf numFmtId="169" fontId="19" fillId="4" borderId="12" xfId="0" applyNumberFormat="1" applyFont="1" applyFill="1" applyBorder="1" applyAlignment="1">
      <alignment horizontal="center" vertical="center"/>
    </xf>
    <xf numFmtId="169" fontId="19" fillId="4" borderId="22" xfId="0" applyNumberFormat="1" applyFont="1" applyFill="1" applyBorder="1" applyAlignment="1">
      <alignment horizontal="center" vertical="center"/>
    </xf>
    <xf numFmtId="169" fontId="19" fillId="4" borderId="31" xfId="0" applyNumberFormat="1" applyFont="1" applyFill="1" applyBorder="1" applyAlignment="1">
      <alignment horizontal="center" vertical="center"/>
    </xf>
    <xf numFmtId="0" fontId="45" fillId="9" borderId="75" xfId="0" applyFont="1" applyFill="1" applyBorder="1" applyAlignment="1">
      <alignment horizontal="center" vertical="center"/>
    </xf>
    <xf numFmtId="0" fontId="7" fillId="4" borderId="0" xfId="0" applyFont="1" applyFill="1" applyBorder="1" applyAlignment="1">
      <alignment horizontal="center" vertical="center"/>
    </xf>
    <xf numFmtId="0" fontId="19" fillId="4" borderId="11" xfId="0" applyFont="1" applyFill="1" applyBorder="1" applyAlignment="1">
      <alignment horizontal="center" vertical="center"/>
    </xf>
    <xf numFmtId="169" fontId="19" fillId="4" borderId="7" xfId="0" applyNumberFormat="1" applyFont="1" applyFill="1" applyBorder="1" applyAlignment="1">
      <alignment horizontal="center" vertical="center"/>
    </xf>
    <xf numFmtId="0" fontId="45" fillId="9" borderId="0" xfId="0" applyFont="1" applyFill="1" applyBorder="1" applyAlignment="1">
      <alignment horizontal="left" vertical="center" indent="1"/>
    </xf>
    <xf numFmtId="169" fontId="19" fillId="4" borderId="13" xfId="0" applyNumberFormat="1" applyFont="1" applyFill="1" applyBorder="1" applyAlignment="1">
      <alignment horizontal="center" vertical="center"/>
    </xf>
    <xf numFmtId="0" fontId="45" fillId="9" borderId="43" xfId="0" applyFont="1" applyFill="1" applyBorder="1" applyAlignment="1">
      <alignment horizontal="center" vertical="center"/>
    </xf>
    <xf numFmtId="0" fontId="34" fillId="4" borderId="0" xfId="0" applyFont="1" applyFill="1" applyAlignment="1"/>
    <xf numFmtId="0" fontId="45" fillId="9" borderId="36" xfId="0" applyFont="1" applyFill="1" applyBorder="1" applyAlignment="1">
      <alignment horizontal="center" vertical="center" wrapText="1"/>
    </xf>
    <xf numFmtId="0" fontId="45" fillId="9" borderId="43" xfId="0" applyFont="1" applyFill="1" applyBorder="1" applyAlignment="1">
      <alignment horizontal="center" vertical="center" wrapText="1"/>
    </xf>
    <xf numFmtId="169" fontId="19" fillId="4" borderId="17" xfId="0" applyNumberFormat="1" applyFont="1" applyFill="1" applyBorder="1" applyAlignment="1">
      <alignment horizontal="center" vertical="center"/>
    </xf>
    <xf numFmtId="169" fontId="23" fillId="4" borderId="7" xfId="0" applyNumberFormat="1" applyFont="1" applyFill="1" applyBorder="1" applyAlignment="1">
      <alignment horizontal="center" vertical="center"/>
    </xf>
    <xf numFmtId="169" fontId="19" fillId="4" borderId="22" xfId="0" applyNumberFormat="1" applyFont="1" applyFill="1" applyBorder="1" applyAlignment="1">
      <alignment horizontal="center" vertical="center"/>
    </xf>
    <xf numFmtId="169" fontId="19" fillId="4" borderId="12" xfId="0" applyNumberFormat="1" applyFont="1" applyFill="1" applyBorder="1" applyAlignment="1">
      <alignment horizontal="center" vertical="center"/>
    </xf>
    <xf numFmtId="169" fontId="23" fillId="4" borderId="12" xfId="0" applyNumberFormat="1" applyFont="1" applyFill="1" applyBorder="1" applyAlignment="1">
      <alignment horizontal="center" vertical="center"/>
    </xf>
    <xf numFmtId="169" fontId="23" fillId="4" borderId="13" xfId="0" applyNumberFormat="1" applyFont="1" applyFill="1" applyBorder="1" applyAlignment="1">
      <alignment horizontal="center" vertical="center"/>
    </xf>
    <xf numFmtId="169" fontId="19" fillId="4" borderId="7" xfId="0" applyNumberFormat="1" applyFont="1" applyFill="1" applyBorder="1" applyAlignment="1">
      <alignment horizontal="center" vertical="center"/>
    </xf>
    <xf numFmtId="169" fontId="19" fillId="4" borderId="11" xfId="0" applyNumberFormat="1" applyFont="1" applyFill="1" applyBorder="1" applyAlignment="1">
      <alignment horizontal="center" vertical="center"/>
    </xf>
    <xf numFmtId="6" fontId="19" fillId="4" borderId="22" xfId="0" applyNumberFormat="1" applyFont="1" applyFill="1" applyBorder="1" applyAlignment="1">
      <alignment horizontal="center" vertical="center"/>
    </xf>
    <xf numFmtId="169" fontId="19" fillId="4" borderId="6" xfId="0" applyNumberFormat="1" applyFont="1" applyFill="1" applyBorder="1" applyAlignment="1">
      <alignment horizontal="center" vertical="center"/>
    </xf>
    <xf numFmtId="6" fontId="19" fillId="4" borderId="6" xfId="0" applyNumberFormat="1" applyFont="1" applyFill="1" applyBorder="1" applyAlignment="1">
      <alignment horizontal="center" vertical="center"/>
    </xf>
    <xf numFmtId="0" fontId="45" fillId="9" borderId="75" xfId="0" applyFont="1" applyFill="1" applyBorder="1" applyAlignment="1">
      <alignment horizontal="center" vertical="center"/>
    </xf>
    <xf numFmtId="6" fontId="45" fillId="9" borderId="36" xfId="0" applyNumberFormat="1" applyFont="1" applyFill="1" applyBorder="1" applyAlignment="1">
      <alignment horizontal="center" vertical="center"/>
    </xf>
    <xf numFmtId="6" fontId="19" fillId="4" borderId="17" xfId="0" applyNumberFormat="1" applyFont="1" applyFill="1" applyBorder="1" applyAlignment="1">
      <alignment horizontal="center" vertical="center"/>
    </xf>
    <xf numFmtId="0" fontId="34" fillId="4" borderId="0" xfId="0" applyFont="1" applyFill="1" applyAlignment="1"/>
    <xf numFmtId="0" fontId="45" fillId="9" borderId="0" xfId="0" applyFont="1" applyFill="1" applyBorder="1" applyAlignment="1">
      <alignment horizontal="center" vertical="center" wrapText="1" readingOrder="1"/>
    </xf>
    <xf numFmtId="0" fontId="45" fillId="9" borderId="36" xfId="0" applyFont="1" applyFill="1" applyBorder="1" applyAlignment="1">
      <alignment horizontal="center" vertical="center" wrapText="1" readingOrder="1"/>
    </xf>
    <xf numFmtId="49" fontId="30" fillId="4" borderId="0" xfId="0" applyNumberFormat="1" applyFont="1" applyFill="1" applyBorder="1" applyAlignment="1">
      <alignment horizontal="center" vertical="center"/>
    </xf>
    <xf numFmtId="0" fontId="43" fillId="7" borderId="0" xfId="0" applyNumberFormat="1" applyFont="1" applyFill="1" applyBorder="1" applyAlignment="1">
      <alignment horizontal="center" vertical="center" wrapText="1"/>
    </xf>
    <xf numFmtId="6" fontId="32" fillId="4" borderId="0" xfId="0" applyNumberFormat="1" applyFont="1" applyFill="1" applyBorder="1" applyAlignment="1">
      <alignment horizontal="center" vertical="center" wrapText="1"/>
    </xf>
    <xf numFmtId="49" fontId="2" fillId="4" borderId="0" xfId="0" applyNumberFormat="1" applyFont="1" applyFill="1" applyBorder="1" applyAlignment="1">
      <alignment horizontal="center" vertical="center" wrapText="1"/>
    </xf>
    <xf numFmtId="49" fontId="3" fillId="4" borderId="0" xfId="0" applyNumberFormat="1" applyFont="1" applyFill="1" applyBorder="1" applyAlignment="1">
      <alignment horizontal="center" vertical="center" wrapText="1"/>
    </xf>
    <xf numFmtId="0" fontId="30" fillId="4" borderId="0" xfId="0" applyFont="1" applyFill="1" applyBorder="1" applyAlignment="1">
      <alignment horizontal="center" vertical="center"/>
    </xf>
    <xf numFmtId="0" fontId="33" fillId="4" borderId="0" xfId="0" applyFont="1" applyFill="1" applyBorder="1" applyAlignment="1">
      <alignment horizontal="center" vertical="center"/>
    </xf>
    <xf numFmtId="6" fontId="2" fillId="4" borderId="0" xfId="0" applyNumberFormat="1" applyFont="1" applyFill="1" applyBorder="1" applyAlignment="1">
      <alignment horizontal="center" vertical="center" wrapText="1"/>
    </xf>
    <xf numFmtId="0" fontId="33" fillId="4" borderId="0" xfId="0" applyFont="1" applyFill="1" applyBorder="1" applyAlignment="1">
      <alignment horizontal="center" vertical="center" wrapText="1"/>
    </xf>
    <xf numFmtId="6" fontId="30" fillId="4" borderId="0" xfId="0" applyNumberFormat="1" applyFont="1" applyFill="1" applyBorder="1" applyAlignment="1">
      <alignment horizontal="center" vertical="center"/>
    </xf>
    <xf numFmtId="0" fontId="6" fillId="4" borderId="0" xfId="0" applyFont="1" applyFill="1" applyBorder="1" applyAlignment="1">
      <alignment horizontal="left" vertical="center" indent="1"/>
    </xf>
    <xf numFmtId="6" fontId="42" fillId="4" borderId="0" xfId="0" applyNumberFormat="1" applyFont="1" applyFill="1" applyBorder="1" applyAlignment="1">
      <alignment horizontal="left" vertical="center" wrapText="1"/>
    </xf>
    <xf numFmtId="0" fontId="42" fillId="4" borderId="0" xfId="0" applyFont="1" applyFill="1" applyBorder="1" applyAlignment="1">
      <alignment horizontal="left" vertical="center" wrapText="1"/>
    </xf>
    <xf numFmtId="0" fontId="6" fillId="4" borderId="0" xfId="0" applyFont="1" applyFill="1" applyBorder="1" applyAlignment="1">
      <alignment horizontal="left" vertical="center" wrapText="1" indent="1"/>
    </xf>
    <xf numFmtId="0" fontId="4" fillId="4" borderId="0" xfId="0" applyFont="1" applyFill="1" applyAlignment="1">
      <alignment horizontal="right" vertical="center" wrapText="1"/>
    </xf>
    <xf numFmtId="0" fontId="11" fillId="4" borderId="0" xfId="17" applyNumberFormat="1" applyFont="1" applyFill="1" applyBorder="1" applyAlignment="1">
      <alignment horizontal="center" vertical="center" wrapText="1"/>
    </xf>
    <xf numFmtId="1" fontId="12" fillId="4" borderId="0" xfId="17" applyNumberFormat="1" applyFont="1" applyFill="1" applyBorder="1" applyAlignment="1">
      <alignment vertical="top"/>
    </xf>
    <xf numFmtId="0" fontId="34" fillId="4" borderId="100" xfId="0" applyFont="1" applyFill="1" applyBorder="1" applyAlignment="1">
      <alignment horizontal="left" vertical="center" indent="1"/>
    </xf>
    <xf numFmtId="0" fontId="34" fillId="4" borderId="43" xfId="0" applyFont="1" applyFill="1" applyBorder="1" applyAlignment="1">
      <alignment horizontal="left" vertical="center" indent="1"/>
    </xf>
    <xf numFmtId="0" fontId="34" fillId="4" borderId="101" xfId="0" applyFont="1" applyFill="1" applyBorder="1" applyAlignment="1">
      <alignment horizontal="left" vertical="center" indent="1"/>
    </xf>
    <xf numFmtId="0" fontId="34" fillId="4" borderId="17" xfId="0" applyFont="1" applyFill="1" applyBorder="1" applyAlignment="1">
      <alignment horizontal="left" vertical="center" indent="1"/>
    </xf>
    <xf numFmtId="0" fontId="34" fillId="4" borderId="29" xfId="0" applyFont="1" applyFill="1" applyBorder="1" applyAlignment="1">
      <alignment horizontal="left" vertical="center" indent="1"/>
    </xf>
    <xf numFmtId="0" fontId="34" fillId="4" borderId="12" xfId="0" applyFont="1" applyFill="1" applyBorder="1" applyAlignment="1">
      <alignment horizontal="left" vertical="center" indent="1"/>
    </xf>
    <xf numFmtId="0" fontId="34" fillId="4" borderId="6" xfId="0" applyFont="1" applyFill="1" applyBorder="1" applyAlignment="1">
      <alignment horizontal="left" vertical="center" wrapText="1" indent="1"/>
    </xf>
    <xf numFmtId="0" fontId="34" fillId="4" borderId="21" xfId="0" applyFont="1" applyFill="1" applyBorder="1" applyAlignment="1">
      <alignment horizontal="left" vertical="center" wrapText="1" indent="1"/>
    </xf>
    <xf numFmtId="0" fontId="34" fillId="4" borderId="7" xfId="0" applyFont="1" applyFill="1" applyBorder="1" applyAlignment="1">
      <alignment horizontal="left" vertical="center" wrapText="1" indent="1"/>
    </xf>
    <xf numFmtId="0" fontId="34" fillId="4" borderId="41" xfId="0" applyFont="1" applyFill="1" applyBorder="1" applyAlignment="1">
      <alignment horizontal="left" vertical="center" wrapText="1" indent="1"/>
    </xf>
    <xf numFmtId="0" fontId="34" fillId="4" borderId="64" xfId="0" applyFont="1" applyFill="1" applyBorder="1" applyAlignment="1">
      <alignment horizontal="left" vertical="center" wrapText="1" indent="1"/>
    </xf>
    <xf numFmtId="0" fontId="34" fillId="4" borderId="42" xfId="0" applyFont="1" applyFill="1" applyBorder="1" applyAlignment="1">
      <alignment horizontal="left" vertical="center" wrapText="1" indent="1"/>
    </xf>
    <xf numFmtId="0" fontId="34" fillId="18" borderId="1" xfId="0" applyFont="1" applyFill="1" applyBorder="1" applyAlignment="1">
      <alignment horizontal="center" vertical="center" textRotation="90"/>
    </xf>
    <xf numFmtId="0" fontId="34" fillId="18" borderId="63" xfId="0" applyFont="1" applyFill="1" applyBorder="1" applyAlignment="1">
      <alignment horizontal="center" vertical="center" textRotation="90"/>
    </xf>
    <xf numFmtId="0" fontId="19" fillId="4" borderId="6" xfId="0" applyFont="1" applyFill="1" applyBorder="1" applyAlignment="1">
      <alignment horizontal="left" vertical="center" indent="1"/>
    </xf>
    <xf numFmtId="0" fontId="19" fillId="4" borderId="21" xfId="0" applyFont="1" applyFill="1" applyBorder="1" applyAlignment="1">
      <alignment horizontal="left" vertical="center" indent="1"/>
    </xf>
    <xf numFmtId="0" fontId="19" fillId="4" borderId="7" xfId="0" applyFont="1" applyFill="1" applyBorder="1" applyAlignment="1">
      <alignment horizontal="left" vertical="center" indent="1"/>
    </xf>
    <xf numFmtId="0" fontId="34" fillId="4" borderId="17" xfId="0" applyFont="1" applyFill="1" applyBorder="1" applyAlignment="1">
      <alignment horizontal="left" vertical="center" wrapText="1" indent="1"/>
    </xf>
    <xf numFmtId="0" fontId="34" fillId="4" borderId="29" xfId="0" applyFont="1" applyFill="1" applyBorder="1" applyAlignment="1">
      <alignment horizontal="left" vertical="center" wrapText="1" indent="1"/>
    </xf>
    <xf numFmtId="0" fontId="34" fillId="4" borderId="12" xfId="0" applyFont="1" applyFill="1" applyBorder="1" applyAlignment="1">
      <alignment horizontal="left" vertical="center" wrapText="1" indent="1"/>
    </xf>
    <xf numFmtId="0" fontId="34" fillId="19" borderId="68" xfId="0" applyFont="1" applyFill="1" applyBorder="1" applyAlignment="1">
      <alignment horizontal="center" vertical="center" textRotation="90" wrapText="1"/>
    </xf>
    <xf numFmtId="0" fontId="34" fillId="19" borderId="1" xfId="0" applyFont="1" applyFill="1" applyBorder="1" applyAlignment="1">
      <alignment horizontal="center" vertical="center" textRotation="90" wrapText="1"/>
    </xf>
    <xf numFmtId="0" fontId="34" fillId="19" borderId="63" xfId="0" applyFont="1" applyFill="1" applyBorder="1" applyAlignment="1">
      <alignment horizontal="center" vertical="center" textRotation="90" wrapText="1"/>
    </xf>
    <xf numFmtId="0" fontId="45" fillId="22" borderId="0" xfId="0" applyFont="1" applyFill="1" applyBorder="1" applyAlignment="1">
      <alignment horizontal="center" vertical="center"/>
    </xf>
    <xf numFmtId="0" fontId="45" fillId="22" borderId="72" xfId="0" applyFont="1" applyFill="1" applyBorder="1" applyAlignment="1">
      <alignment horizontal="center" vertical="center"/>
    </xf>
    <xf numFmtId="0" fontId="19" fillId="4" borderId="17" xfId="0" applyFont="1" applyFill="1" applyBorder="1" applyAlignment="1">
      <alignment horizontal="left" vertical="center" wrapText="1" indent="1"/>
    </xf>
    <xf numFmtId="0" fontId="19" fillId="4" borderId="29" xfId="0" applyFont="1" applyFill="1" applyBorder="1" applyAlignment="1">
      <alignment horizontal="left" vertical="center" wrapText="1" indent="1"/>
    </xf>
    <xf numFmtId="0" fontId="19" fillId="4" borderId="12" xfId="0" applyFont="1" applyFill="1" applyBorder="1" applyAlignment="1">
      <alignment horizontal="left" vertical="center" wrapText="1" indent="1"/>
    </xf>
    <xf numFmtId="0" fontId="34" fillId="0" borderId="6" xfId="0" applyFont="1" applyFill="1" applyBorder="1" applyAlignment="1">
      <alignment horizontal="left" vertical="center" indent="1"/>
    </xf>
    <xf numFmtId="0" fontId="34" fillId="0" borderId="21" xfId="0" applyFont="1" applyFill="1" applyBorder="1" applyAlignment="1">
      <alignment horizontal="left" vertical="center" indent="1"/>
    </xf>
    <xf numFmtId="0" fontId="34" fillId="0" borderId="7" xfId="0" applyFont="1" applyFill="1" applyBorder="1" applyAlignment="1">
      <alignment horizontal="left" vertical="center" indent="1"/>
    </xf>
    <xf numFmtId="0" fontId="34" fillId="4" borderId="24" xfId="0" applyFont="1" applyFill="1" applyBorder="1" applyAlignment="1">
      <alignment horizontal="left" vertical="center" indent="1"/>
    </xf>
    <xf numFmtId="0" fontId="34" fillId="4" borderId="32" xfId="0" applyFont="1" applyFill="1" applyBorder="1" applyAlignment="1">
      <alignment horizontal="left" vertical="center" indent="1"/>
    </xf>
    <xf numFmtId="0" fontId="34" fillId="4" borderId="25" xfId="0" applyFont="1" applyFill="1" applyBorder="1" applyAlignment="1">
      <alignment horizontal="left" vertical="center" indent="1"/>
    </xf>
    <xf numFmtId="0" fontId="34" fillId="0" borderId="6" xfId="0" applyFont="1" applyFill="1" applyBorder="1" applyAlignment="1">
      <alignment horizontal="left" vertical="center" wrapText="1" indent="1"/>
    </xf>
    <xf numFmtId="0" fontId="34" fillId="0" borderId="21" xfId="0" applyFont="1" applyFill="1" applyBorder="1" applyAlignment="1">
      <alignment horizontal="left" vertical="center" wrapText="1" indent="1"/>
    </xf>
    <xf numFmtId="0" fontId="34" fillId="0" borderId="7" xfId="0" applyFont="1" applyFill="1" applyBorder="1" applyAlignment="1">
      <alignment horizontal="left" vertical="center" wrapText="1" indent="1"/>
    </xf>
    <xf numFmtId="0" fontId="45" fillId="9" borderId="0" xfId="0" applyFont="1" applyFill="1" applyBorder="1" applyAlignment="1">
      <alignment horizontal="center" vertical="center"/>
    </xf>
    <xf numFmtId="0" fontId="45" fillId="9" borderId="37" xfId="0" applyFont="1" applyFill="1" applyBorder="1" applyAlignment="1">
      <alignment horizontal="center" vertical="center"/>
    </xf>
    <xf numFmtId="0" fontId="34" fillId="0" borderId="22" xfId="0" applyFont="1" applyFill="1" applyBorder="1" applyAlignment="1">
      <alignment horizontal="left" vertical="center" indent="1"/>
    </xf>
    <xf numFmtId="0" fontId="34" fillId="0" borderId="31" xfId="0" applyFont="1" applyFill="1" applyBorder="1" applyAlignment="1">
      <alignment horizontal="left" vertical="center" indent="1"/>
    </xf>
    <xf numFmtId="0" fontId="34" fillId="0" borderId="13" xfId="0" applyFont="1" applyFill="1" applyBorder="1" applyAlignment="1">
      <alignment horizontal="left" vertical="center" indent="1"/>
    </xf>
    <xf numFmtId="0" fontId="60" fillId="0" borderId="6" xfId="0" applyFont="1" applyFill="1" applyBorder="1" applyAlignment="1">
      <alignment horizontal="center" vertical="center" wrapText="1"/>
    </xf>
    <xf numFmtId="0" fontId="60" fillId="0" borderId="21" xfId="0" applyFont="1" applyFill="1" applyBorder="1" applyAlignment="1">
      <alignment horizontal="center" vertical="center" wrapText="1"/>
    </xf>
    <xf numFmtId="0" fontId="60" fillId="0" borderId="7" xfId="0" applyFont="1" applyFill="1" applyBorder="1" applyAlignment="1">
      <alignment horizontal="center" vertical="center" wrapText="1"/>
    </xf>
    <xf numFmtId="169" fontId="34" fillId="13" borderId="25" xfId="0" applyNumberFormat="1" applyFont="1" applyFill="1" applyBorder="1" applyAlignment="1">
      <alignment horizontal="center" vertical="center"/>
    </xf>
    <xf numFmtId="169" fontId="34" fillId="13" borderId="12" xfId="0" applyNumberFormat="1" applyFont="1" applyFill="1" applyBorder="1" applyAlignment="1">
      <alignment horizontal="center" vertical="center"/>
    </xf>
    <xf numFmtId="0" fontId="34" fillId="4" borderId="24" xfId="0" applyFont="1" applyFill="1" applyBorder="1" applyAlignment="1">
      <alignment horizontal="left" vertical="center" wrapText="1" indent="1"/>
    </xf>
    <xf numFmtId="0" fontId="34" fillId="4" borderId="32" xfId="0" applyFont="1" applyFill="1" applyBorder="1" applyAlignment="1">
      <alignment horizontal="left" vertical="center" wrapText="1" indent="1"/>
    </xf>
    <xf numFmtId="0" fontId="34" fillId="4" borderId="25" xfId="0" applyFont="1" applyFill="1" applyBorder="1" applyAlignment="1">
      <alignment horizontal="left" vertical="center" wrapText="1" indent="1"/>
    </xf>
    <xf numFmtId="0" fontId="45" fillId="9" borderId="36" xfId="0" applyFont="1" applyFill="1" applyBorder="1" applyAlignment="1">
      <alignment horizontal="center" vertical="center"/>
    </xf>
    <xf numFmtId="0" fontId="34" fillId="4" borderId="6" xfId="0" applyFont="1" applyFill="1" applyBorder="1" applyAlignment="1">
      <alignment horizontal="left" vertical="center" indent="1"/>
    </xf>
    <xf numFmtId="0" fontId="34" fillId="4" borderId="21" xfId="0" applyFont="1" applyFill="1" applyBorder="1" applyAlignment="1">
      <alignment horizontal="left" vertical="center" indent="1"/>
    </xf>
    <xf numFmtId="0" fontId="34" fillId="4" borderId="7" xfId="0" applyFont="1" applyFill="1" applyBorder="1" applyAlignment="1">
      <alignment horizontal="left" vertical="center" indent="1"/>
    </xf>
    <xf numFmtId="169" fontId="34" fillId="4" borderId="24" xfId="0" applyNumberFormat="1" applyFont="1" applyFill="1" applyBorder="1" applyAlignment="1">
      <alignment horizontal="center" vertical="center"/>
    </xf>
    <xf numFmtId="169" fontId="34" fillId="4" borderId="17" xfId="0" applyNumberFormat="1" applyFont="1" applyFill="1" applyBorder="1" applyAlignment="1">
      <alignment horizontal="center" vertical="center"/>
    </xf>
    <xf numFmtId="0" fontId="34" fillId="4" borderId="22" xfId="0" applyFont="1" applyFill="1" applyBorder="1" applyAlignment="1">
      <alignment horizontal="left" vertical="center" wrapText="1" indent="1"/>
    </xf>
    <xf numFmtId="0" fontId="34" fillId="4" borderId="31" xfId="0" applyFont="1" applyFill="1" applyBorder="1" applyAlignment="1">
      <alignment horizontal="left" vertical="center" wrapText="1" indent="1"/>
    </xf>
    <xf numFmtId="0" fontId="34" fillId="4" borderId="13" xfId="0" applyFont="1" applyFill="1" applyBorder="1" applyAlignment="1">
      <alignment horizontal="left" vertical="center" wrapText="1" indent="1"/>
    </xf>
    <xf numFmtId="0" fontId="45" fillId="21" borderId="0" xfId="0" applyFont="1" applyFill="1" applyBorder="1" applyAlignment="1">
      <alignment horizontal="center" vertical="center"/>
    </xf>
    <xf numFmtId="0" fontId="45" fillId="22" borderId="70" xfId="0" applyFont="1" applyFill="1" applyBorder="1" applyAlignment="1">
      <alignment horizontal="center" vertical="center"/>
    </xf>
    <xf numFmtId="0" fontId="45" fillId="22" borderId="71" xfId="0" applyFont="1" applyFill="1" applyBorder="1" applyAlignment="1">
      <alignment horizontal="center" vertical="center"/>
    </xf>
    <xf numFmtId="6" fontId="19" fillId="4" borderId="16" xfId="1" applyNumberFormat="1" applyFont="1" applyFill="1" applyBorder="1" applyAlignment="1">
      <alignment horizontal="center" vertical="center"/>
    </xf>
    <xf numFmtId="6" fontId="19" fillId="4" borderId="10" xfId="1" applyNumberFormat="1" applyFont="1" applyFill="1" applyBorder="1" applyAlignment="1">
      <alignment horizontal="center" vertical="center"/>
    </xf>
    <xf numFmtId="0" fontId="19" fillId="4" borderId="17" xfId="0" applyFont="1" applyFill="1" applyBorder="1" applyAlignment="1">
      <alignment horizontal="left" vertical="center" indent="1"/>
    </xf>
    <xf numFmtId="0" fontId="19" fillId="4" borderId="29" xfId="0" applyFont="1" applyFill="1" applyBorder="1" applyAlignment="1">
      <alignment horizontal="left" vertical="center" indent="1"/>
    </xf>
    <xf numFmtId="0" fontId="19" fillId="4" borderId="12" xfId="0" applyFont="1" applyFill="1" applyBorder="1" applyAlignment="1">
      <alignment horizontal="left" vertical="center" indent="1"/>
    </xf>
    <xf numFmtId="0" fontId="23" fillId="4" borderId="17" xfId="0" applyFont="1" applyFill="1" applyBorder="1" applyAlignment="1">
      <alignment horizontal="left" vertical="center" indent="1"/>
    </xf>
    <xf numFmtId="0" fontId="23" fillId="4" borderId="29" xfId="0" applyFont="1" applyFill="1" applyBorder="1" applyAlignment="1">
      <alignment horizontal="left" vertical="center" indent="1"/>
    </xf>
    <xf numFmtId="0" fontId="23" fillId="4" borderId="12" xfId="0" applyFont="1" applyFill="1" applyBorder="1" applyAlignment="1">
      <alignment horizontal="left" vertical="center" indent="1"/>
    </xf>
    <xf numFmtId="0" fontId="48" fillId="7" borderId="30" xfId="0" applyNumberFormat="1" applyFont="1" applyFill="1" applyBorder="1" applyAlignment="1">
      <alignment horizontal="center" vertical="center" wrapText="1"/>
    </xf>
    <xf numFmtId="0" fontId="48" fillId="7" borderId="27" xfId="0" applyNumberFormat="1" applyFont="1" applyFill="1" applyBorder="1" applyAlignment="1">
      <alignment horizontal="center" vertical="center" wrapText="1"/>
    </xf>
    <xf numFmtId="0" fontId="48" fillId="7" borderId="23" xfId="0" applyNumberFormat="1" applyFont="1" applyFill="1" applyBorder="1" applyAlignment="1">
      <alignment horizontal="center" vertical="center" wrapText="1"/>
    </xf>
    <xf numFmtId="0" fontId="47" fillId="4" borderId="3" xfId="0" applyFont="1" applyFill="1" applyBorder="1" applyAlignment="1">
      <alignment horizontal="left" vertical="center" indent="1"/>
    </xf>
    <xf numFmtId="0" fontId="47" fillId="4" borderId="0" xfId="0" applyFont="1" applyFill="1" applyBorder="1" applyAlignment="1">
      <alignment horizontal="left" vertical="center" indent="1"/>
    </xf>
    <xf numFmtId="0" fontId="47" fillId="4" borderId="1" xfId="0" applyFont="1" applyFill="1" applyBorder="1" applyAlignment="1">
      <alignment horizontal="left" vertical="center" indent="1"/>
    </xf>
    <xf numFmtId="0" fontId="52" fillId="17" borderId="26" xfId="0" applyFont="1" applyFill="1" applyBorder="1" applyAlignment="1">
      <alignment horizontal="center" vertical="center"/>
    </xf>
    <xf numFmtId="0" fontId="47" fillId="4" borderId="18" xfId="0" applyFont="1" applyFill="1" applyBorder="1" applyAlignment="1">
      <alignment horizontal="left" vertical="center" indent="1"/>
    </xf>
    <xf numFmtId="0" fontId="47" fillId="4" borderId="2" xfId="0" applyFont="1" applyFill="1" applyBorder="1" applyAlignment="1">
      <alignment horizontal="left" vertical="center" indent="1"/>
    </xf>
    <xf numFmtId="0" fontId="47" fillId="4" borderId="11" xfId="0" applyFont="1" applyFill="1" applyBorder="1" applyAlignment="1">
      <alignment horizontal="left" vertical="center" indent="1"/>
    </xf>
    <xf numFmtId="0" fontId="47" fillId="4" borderId="17" xfId="0" applyFont="1" applyFill="1" applyBorder="1" applyAlignment="1">
      <alignment horizontal="left" vertical="center" indent="1"/>
    </xf>
    <xf numFmtId="0" fontId="47" fillId="4" borderId="29" xfId="0" applyFont="1" applyFill="1" applyBorder="1" applyAlignment="1">
      <alignment horizontal="left" vertical="center" indent="1"/>
    </xf>
    <xf numFmtId="0" fontId="47" fillId="4" borderId="12" xfId="0" applyFont="1" applyFill="1" applyBorder="1" applyAlignment="1">
      <alignment horizontal="left" vertical="center" indent="1"/>
    </xf>
    <xf numFmtId="0" fontId="47" fillId="4" borderId="24" xfId="0" applyFont="1" applyFill="1" applyBorder="1" applyAlignment="1">
      <alignment horizontal="left" vertical="center" indent="1"/>
    </xf>
    <xf numFmtId="0" fontId="47" fillId="4" borderId="32" xfId="0" applyFont="1" applyFill="1" applyBorder="1" applyAlignment="1">
      <alignment horizontal="left" vertical="center" indent="1"/>
    </xf>
    <xf numFmtId="0" fontId="47" fillId="4" borderId="25" xfId="0" applyFont="1" applyFill="1" applyBorder="1" applyAlignment="1">
      <alignment horizontal="left" vertical="center" indent="1"/>
    </xf>
    <xf numFmtId="0" fontId="52" fillId="14" borderId="0" xfId="0" applyFont="1" applyFill="1" applyAlignment="1">
      <alignment horizontal="center" vertical="center"/>
    </xf>
    <xf numFmtId="0" fontId="34" fillId="4" borderId="18" xfId="0" applyFont="1" applyFill="1" applyBorder="1" applyAlignment="1">
      <alignment horizontal="left" vertical="center" wrapText="1" indent="1"/>
    </xf>
    <xf numFmtId="0" fontId="34" fillId="4" borderId="2" xfId="0" applyFont="1" applyFill="1" applyBorder="1" applyAlignment="1">
      <alignment horizontal="left" vertical="center" wrapText="1" indent="1"/>
    </xf>
    <xf numFmtId="0" fontId="34" fillId="4" borderId="11" xfId="0" applyFont="1" applyFill="1" applyBorder="1" applyAlignment="1">
      <alignment horizontal="left" vertical="center" wrapText="1" indent="1"/>
    </xf>
    <xf numFmtId="0" fontId="19" fillId="4" borderId="6" xfId="0" applyFont="1" applyFill="1" applyBorder="1" applyAlignment="1">
      <alignment horizontal="left" vertical="center" wrapText="1" indent="1"/>
    </xf>
    <xf numFmtId="0" fontId="19" fillId="4" borderId="21" xfId="0" applyFont="1" applyFill="1" applyBorder="1" applyAlignment="1">
      <alignment horizontal="left" vertical="center" wrapText="1" indent="1"/>
    </xf>
    <xf numFmtId="0" fontId="19" fillId="4" borderId="7" xfId="0" applyFont="1" applyFill="1" applyBorder="1" applyAlignment="1">
      <alignment horizontal="left" vertical="center" wrapText="1" indent="1"/>
    </xf>
    <xf numFmtId="0" fontId="45" fillId="21" borderId="69" xfId="0" applyFont="1" applyFill="1" applyBorder="1" applyAlignment="1">
      <alignment horizontal="center" vertical="center"/>
    </xf>
    <xf numFmtId="0" fontId="19" fillId="4" borderId="18" xfId="0" applyFont="1" applyFill="1" applyBorder="1" applyAlignment="1">
      <alignment horizontal="left" vertical="center" wrapText="1" indent="1"/>
    </xf>
    <xf numFmtId="0" fontId="19" fillId="4" borderId="2" xfId="0" applyFont="1" applyFill="1" applyBorder="1" applyAlignment="1">
      <alignment horizontal="left" vertical="center" wrapText="1" indent="1"/>
    </xf>
    <xf numFmtId="0" fontId="19" fillId="4" borderId="11" xfId="0" applyFont="1" applyFill="1" applyBorder="1" applyAlignment="1">
      <alignment horizontal="left" vertical="center" wrapText="1" indent="1"/>
    </xf>
    <xf numFmtId="0" fontId="19" fillId="4" borderId="65" xfId="0" applyFont="1" applyFill="1" applyBorder="1" applyAlignment="1">
      <alignment horizontal="left" vertical="center" wrapText="1" indent="1"/>
    </xf>
    <xf numFmtId="0" fontId="19" fillId="4" borderId="66" xfId="0" applyFont="1" applyFill="1" applyBorder="1" applyAlignment="1">
      <alignment horizontal="left" vertical="center" wrapText="1" indent="1"/>
    </xf>
    <xf numFmtId="0" fontId="19" fillId="4" borderId="67" xfId="0" applyFont="1" applyFill="1" applyBorder="1" applyAlignment="1">
      <alignment horizontal="left" vertical="center" wrapText="1" indent="1"/>
    </xf>
    <xf numFmtId="0" fontId="19" fillId="4" borderId="18" xfId="0" applyFont="1" applyFill="1" applyBorder="1" applyAlignment="1">
      <alignment horizontal="left" vertical="center" indent="1"/>
    </xf>
    <xf numFmtId="0" fontId="19" fillId="4" borderId="2" xfId="0" applyFont="1" applyFill="1" applyBorder="1" applyAlignment="1">
      <alignment horizontal="left" vertical="center" indent="1"/>
    </xf>
    <xf numFmtId="0" fontId="19" fillId="4" borderId="11" xfId="0" applyFont="1" applyFill="1" applyBorder="1" applyAlignment="1">
      <alignment horizontal="left" vertical="center" indent="1"/>
    </xf>
    <xf numFmtId="0" fontId="34" fillId="20" borderId="1" xfId="0" applyFont="1" applyFill="1" applyBorder="1" applyAlignment="1">
      <alignment horizontal="center" vertical="center" textRotation="90"/>
    </xf>
    <xf numFmtId="0" fontId="19" fillId="4" borderId="65" xfId="0" applyFont="1" applyFill="1" applyBorder="1" applyAlignment="1">
      <alignment horizontal="left" vertical="center" indent="1"/>
    </xf>
    <xf numFmtId="0" fontId="19" fillId="4" borderId="66" xfId="0" applyFont="1" applyFill="1" applyBorder="1" applyAlignment="1">
      <alignment horizontal="left" vertical="center" indent="1"/>
    </xf>
    <xf numFmtId="0" fontId="19" fillId="4" borderId="67" xfId="0" applyFont="1" applyFill="1" applyBorder="1" applyAlignment="1">
      <alignment horizontal="left" vertical="center" indent="1"/>
    </xf>
    <xf numFmtId="0" fontId="52" fillId="24" borderId="0" xfId="0" applyFont="1" applyFill="1" applyBorder="1" applyAlignment="1">
      <alignment horizontal="center" vertical="center"/>
    </xf>
    <xf numFmtId="170" fontId="19" fillId="4" borderId="6" xfId="0" applyNumberFormat="1" applyFont="1" applyFill="1" applyBorder="1" applyAlignment="1">
      <alignment horizontal="center" vertical="center" wrapText="1"/>
    </xf>
    <xf numFmtId="170" fontId="19" fillId="4" borderId="7" xfId="0" applyNumberFormat="1" applyFont="1" applyFill="1" applyBorder="1" applyAlignment="1">
      <alignment horizontal="center" vertical="center" wrapText="1"/>
    </xf>
    <xf numFmtId="0" fontId="47" fillId="4" borderId="6" xfId="0" applyFont="1" applyFill="1" applyBorder="1" applyAlignment="1">
      <alignment horizontal="left" vertical="center" indent="1"/>
    </xf>
    <xf numFmtId="0" fontId="47" fillId="4" borderId="21" xfId="0" applyFont="1" applyFill="1" applyBorder="1" applyAlignment="1">
      <alignment horizontal="left" vertical="center" indent="1"/>
    </xf>
    <xf numFmtId="0" fontId="47" fillId="4" borderId="7" xfId="0" applyFont="1" applyFill="1" applyBorder="1" applyAlignment="1">
      <alignment horizontal="left" vertical="center" indent="1"/>
    </xf>
    <xf numFmtId="0" fontId="47" fillId="4" borderId="22" xfId="0" applyFont="1" applyFill="1" applyBorder="1" applyAlignment="1">
      <alignment horizontal="left" vertical="center" indent="1"/>
    </xf>
    <xf numFmtId="0" fontId="47" fillId="4" borderId="31" xfId="0" applyFont="1" applyFill="1" applyBorder="1" applyAlignment="1">
      <alignment horizontal="left" vertical="center" indent="1"/>
    </xf>
    <xf numFmtId="0" fontId="47" fillId="4" borderId="13" xfId="0" applyFont="1" applyFill="1" applyBorder="1" applyAlignment="1">
      <alignment horizontal="left" vertical="center" indent="1"/>
    </xf>
    <xf numFmtId="6" fontId="19" fillId="0" borderId="17" xfId="0" applyNumberFormat="1" applyFont="1" applyFill="1" applyBorder="1" applyAlignment="1">
      <alignment horizontal="center" vertical="center" wrapText="1"/>
    </xf>
    <xf numFmtId="6" fontId="19" fillId="0" borderId="12" xfId="0" applyNumberFormat="1" applyFont="1" applyFill="1" applyBorder="1" applyAlignment="1">
      <alignment horizontal="center" vertical="center" wrapText="1"/>
    </xf>
    <xf numFmtId="0" fontId="45" fillId="9" borderId="0" xfId="0" applyFont="1" applyFill="1" applyBorder="1" applyAlignment="1">
      <alignment horizontal="center" vertical="center" wrapText="1" readingOrder="1"/>
    </xf>
    <xf numFmtId="0" fontId="45" fillId="9" borderId="37" xfId="0" applyFont="1" applyFill="1" applyBorder="1" applyAlignment="1">
      <alignment horizontal="center" vertical="center" wrapText="1" readingOrder="1"/>
    </xf>
    <xf numFmtId="165" fontId="34" fillId="4" borderId="20" xfId="0" applyNumberFormat="1" applyFont="1" applyFill="1" applyBorder="1" applyAlignment="1">
      <alignment horizontal="center" vertical="center"/>
    </xf>
    <xf numFmtId="165" fontId="34" fillId="4" borderId="16" xfId="0" applyNumberFormat="1" applyFont="1" applyFill="1" applyBorder="1" applyAlignment="1">
      <alignment horizontal="center" vertical="center"/>
    </xf>
    <xf numFmtId="165" fontId="34" fillId="4" borderId="10" xfId="0" applyNumberFormat="1" applyFont="1" applyFill="1" applyBorder="1" applyAlignment="1">
      <alignment horizontal="center" vertical="center"/>
    </xf>
    <xf numFmtId="0" fontId="45" fillId="9" borderId="36" xfId="0" applyFont="1" applyFill="1" applyBorder="1" applyAlignment="1">
      <alignment horizontal="center" vertical="center" wrapText="1" readingOrder="1"/>
    </xf>
    <xf numFmtId="0" fontId="54" fillId="9" borderId="0" xfId="0" applyFont="1" applyFill="1" applyBorder="1" applyAlignment="1">
      <alignment horizontal="center" vertical="center" wrapText="1" readingOrder="1"/>
    </xf>
    <xf numFmtId="0" fontId="54" fillId="9" borderId="36" xfId="0" applyFont="1" applyFill="1" applyBorder="1" applyAlignment="1">
      <alignment horizontal="center" vertical="center" wrapText="1" readingOrder="1"/>
    </xf>
    <xf numFmtId="0" fontId="34" fillId="4" borderId="19" xfId="0" applyFont="1" applyFill="1" applyBorder="1" applyAlignment="1">
      <alignment horizontal="left" vertical="center" wrapText="1" indent="1"/>
    </xf>
    <xf numFmtId="0" fontId="34" fillId="4" borderId="33" xfId="0" applyFont="1" applyFill="1" applyBorder="1" applyAlignment="1">
      <alignment horizontal="left" vertical="center" wrapText="1" indent="1"/>
    </xf>
    <xf numFmtId="0" fontId="34" fillId="4" borderId="28" xfId="0" applyFont="1" applyFill="1" applyBorder="1" applyAlignment="1">
      <alignment horizontal="left" vertical="center" wrapText="1" indent="1"/>
    </xf>
    <xf numFmtId="170" fontId="19" fillId="4" borderId="18" xfId="0" applyNumberFormat="1" applyFont="1" applyFill="1" applyBorder="1" applyAlignment="1">
      <alignment horizontal="center" vertical="center" wrapText="1"/>
    </xf>
    <xf numFmtId="170" fontId="19" fillId="4" borderId="11" xfId="0" applyNumberFormat="1" applyFont="1" applyFill="1" applyBorder="1" applyAlignment="1">
      <alignment horizontal="center" vertical="center" wrapText="1"/>
    </xf>
    <xf numFmtId="169" fontId="47" fillId="4" borderId="24" xfId="0" applyNumberFormat="1" applyFont="1" applyFill="1" applyBorder="1" applyAlignment="1">
      <alignment horizontal="center" vertical="center"/>
    </xf>
    <xf numFmtId="169" fontId="47" fillId="4" borderId="25" xfId="0" applyNumberFormat="1" applyFont="1" applyFill="1" applyBorder="1" applyAlignment="1">
      <alignment horizontal="center" vertical="center"/>
    </xf>
    <xf numFmtId="169" fontId="47" fillId="4" borderId="17" xfId="0" applyNumberFormat="1" applyFont="1" applyFill="1" applyBorder="1" applyAlignment="1">
      <alignment horizontal="center" vertical="center"/>
    </xf>
    <xf numFmtId="169" fontId="47" fillId="4" borderId="12" xfId="0" applyNumberFormat="1" applyFont="1" applyFill="1" applyBorder="1" applyAlignment="1">
      <alignment horizontal="center" vertical="center"/>
    </xf>
    <xf numFmtId="169" fontId="47" fillId="4" borderId="6" xfId="0" applyNumberFormat="1" applyFont="1" applyFill="1" applyBorder="1" applyAlignment="1">
      <alignment horizontal="center" vertical="center"/>
    </xf>
    <xf numFmtId="169" fontId="47" fillId="4" borderId="7" xfId="0" applyNumberFormat="1" applyFont="1" applyFill="1" applyBorder="1" applyAlignment="1">
      <alignment horizontal="center" vertical="center"/>
    </xf>
    <xf numFmtId="169" fontId="47" fillId="4" borderId="22" xfId="0" applyNumberFormat="1" applyFont="1" applyFill="1" applyBorder="1" applyAlignment="1">
      <alignment horizontal="center" vertical="center"/>
    </xf>
    <xf numFmtId="169" fontId="47" fillId="4" borderId="13" xfId="0" applyNumberFormat="1" applyFont="1" applyFill="1" applyBorder="1" applyAlignment="1">
      <alignment horizontal="center" vertical="center"/>
    </xf>
    <xf numFmtId="169" fontId="47" fillId="4" borderId="3" xfId="0" applyNumberFormat="1" applyFont="1" applyFill="1" applyBorder="1" applyAlignment="1">
      <alignment horizontal="center" vertical="center"/>
    </xf>
    <xf numFmtId="169" fontId="47" fillId="4" borderId="1" xfId="0" applyNumberFormat="1" applyFont="1" applyFill="1" applyBorder="1" applyAlignment="1">
      <alignment horizontal="center" vertical="center"/>
    </xf>
    <xf numFmtId="0" fontId="52" fillId="9" borderId="0" xfId="0" applyFont="1" applyFill="1" applyAlignment="1">
      <alignment horizontal="center" vertical="center"/>
    </xf>
    <xf numFmtId="0" fontId="72" fillId="9" borderId="0" xfId="0" applyFont="1" applyFill="1" applyAlignment="1">
      <alignment horizontal="center" vertical="center"/>
    </xf>
    <xf numFmtId="0" fontId="52" fillId="9" borderId="0" xfId="0" applyFont="1" applyFill="1" applyBorder="1" applyAlignment="1">
      <alignment horizontal="center" vertical="center"/>
    </xf>
    <xf numFmtId="0" fontId="52" fillId="9" borderId="36" xfId="0" applyFont="1" applyFill="1" applyBorder="1" applyAlignment="1">
      <alignment horizontal="center" vertical="center"/>
    </xf>
    <xf numFmtId="169" fontId="47" fillId="4" borderId="0" xfId="0" applyNumberFormat="1" applyFont="1" applyFill="1" applyBorder="1" applyAlignment="1">
      <alignment horizontal="center" vertical="center"/>
    </xf>
    <xf numFmtId="169" fontId="52" fillId="9" borderId="0" xfId="0" applyNumberFormat="1" applyFont="1" applyFill="1" applyBorder="1" applyAlignment="1">
      <alignment horizontal="center" vertical="center"/>
    </xf>
    <xf numFmtId="169" fontId="52" fillId="9" borderId="36" xfId="0" applyNumberFormat="1" applyFont="1" applyFill="1" applyBorder="1" applyAlignment="1">
      <alignment horizontal="center" vertical="center"/>
    </xf>
    <xf numFmtId="169" fontId="47" fillId="4" borderId="21" xfId="0" applyNumberFormat="1" applyFont="1" applyFill="1" applyBorder="1" applyAlignment="1">
      <alignment horizontal="center" vertical="center"/>
    </xf>
    <xf numFmtId="169" fontId="47" fillId="4" borderId="6" xfId="0" applyNumberFormat="1" applyFont="1" applyFill="1" applyBorder="1" applyAlignment="1">
      <alignment horizontal="center" vertical="center" wrapText="1"/>
    </xf>
    <xf numFmtId="169" fontId="47" fillId="4" borderId="7" xfId="0" applyNumberFormat="1" applyFont="1" applyFill="1" applyBorder="1" applyAlignment="1">
      <alignment horizontal="center" vertical="center" wrapText="1"/>
    </xf>
    <xf numFmtId="0" fontId="52" fillId="9" borderId="0" xfId="0" applyFont="1" applyFill="1" applyBorder="1" applyAlignment="1">
      <alignment horizontal="center" vertical="center" wrapText="1"/>
    </xf>
    <xf numFmtId="0" fontId="52" fillId="9" borderId="36" xfId="0" applyFont="1" applyFill="1" applyBorder="1" applyAlignment="1">
      <alignment horizontal="center" vertical="center" wrapText="1"/>
    </xf>
    <xf numFmtId="169" fontId="52" fillId="9" borderId="0" xfId="0" applyNumberFormat="1" applyFont="1" applyFill="1" applyBorder="1" applyAlignment="1">
      <alignment horizontal="center" vertical="center" wrapText="1"/>
    </xf>
    <xf numFmtId="169" fontId="52" fillId="9" borderId="36" xfId="0" applyNumberFormat="1" applyFont="1" applyFill="1" applyBorder="1" applyAlignment="1">
      <alignment horizontal="center" vertical="center" wrapText="1"/>
    </xf>
    <xf numFmtId="169" fontId="47" fillId="4" borderId="2" xfId="0" applyNumberFormat="1" applyFont="1" applyFill="1" applyBorder="1" applyAlignment="1">
      <alignment horizontal="center" vertical="center"/>
    </xf>
    <xf numFmtId="169" fontId="47" fillId="4" borderId="11" xfId="0" applyNumberFormat="1" applyFont="1" applyFill="1" applyBorder="1" applyAlignment="1">
      <alignment horizontal="center" vertical="center"/>
    </xf>
    <xf numFmtId="0" fontId="52" fillId="4" borderId="85" xfId="0" applyFont="1" applyFill="1" applyBorder="1" applyAlignment="1">
      <alignment horizontal="center" vertical="center"/>
    </xf>
    <xf numFmtId="0" fontId="75" fillId="9" borderId="0" xfId="5" applyFont="1" applyFill="1" applyBorder="1" applyAlignment="1">
      <alignment horizontal="center" vertical="center"/>
    </xf>
    <xf numFmtId="0" fontId="26" fillId="9" borderId="0" xfId="5" applyFill="1" applyAlignment="1">
      <alignment horizontal="center" vertical="center"/>
    </xf>
    <xf numFmtId="169" fontId="47" fillId="4" borderId="0" xfId="0" applyNumberFormat="1" applyFont="1" applyFill="1" applyBorder="1" applyAlignment="1">
      <alignment horizontal="right" vertical="center" indent="1"/>
    </xf>
    <xf numFmtId="0" fontId="62" fillId="4" borderId="18" xfId="0" applyFont="1" applyFill="1" applyBorder="1" applyAlignment="1">
      <alignment horizontal="left" vertical="center" indent="1"/>
    </xf>
    <xf numFmtId="0" fontId="62" fillId="4" borderId="11" xfId="0" applyFont="1" applyFill="1" applyBorder="1" applyAlignment="1">
      <alignment horizontal="left" vertical="center" indent="1"/>
    </xf>
    <xf numFmtId="169" fontId="47" fillId="4" borderId="4" xfId="0" applyNumberFormat="1" applyFont="1" applyFill="1" applyBorder="1" applyAlignment="1">
      <alignment horizontal="center" vertical="center"/>
    </xf>
    <xf numFmtId="169" fontId="47" fillId="4" borderId="8" xfId="0" applyNumberFormat="1" applyFont="1" applyFill="1" applyBorder="1" applyAlignment="1">
      <alignment horizontal="center" vertical="center"/>
    </xf>
    <xf numFmtId="0" fontId="62" fillId="4" borderId="17" xfId="0" applyFont="1" applyFill="1" applyBorder="1" applyAlignment="1">
      <alignment horizontal="left" vertical="center" indent="1"/>
    </xf>
    <xf numFmtId="0" fontId="62" fillId="4" borderId="12" xfId="0" applyFont="1" applyFill="1" applyBorder="1" applyAlignment="1">
      <alignment horizontal="left" vertical="center" indent="1"/>
    </xf>
    <xf numFmtId="0" fontId="62" fillId="4" borderId="6" xfId="0" applyFont="1" applyFill="1" applyBorder="1" applyAlignment="1">
      <alignment horizontal="left" vertical="center" indent="1"/>
    </xf>
    <xf numFmtId="0" fontId="62" fillId="4" borderId="7" xfId="0" applyFont="1" applyFill="1" applyBorder="1" applyAlignment="1">
      <alignment horizontal="left" vertical="center" indent="1"/>
    </xf>
    <xf numFmtId="0" fontId="62" fillId="4" borderId="3" xfId="0" applyFont="1" applyFill="1" applyBorder="1" applyAlignment="1">
      <alignment horizontal="left" vertical="center" indent="1"/>
    </xf>
    <xf numFmtId="0" fontId="52" fillId="9" borderId="0" xfId="0" applyFont="1" applyFill="1" applyBorder="1" applyAlignment="1">
      <alignment horizontal="left" vertical="center" indent="1"/>
    </xf>
    <xf numFmtId="0" fontId="62" fillId="4" borderId="22" xfId="0" applyFont="1" applyFill="1" applyBorder="1" applyAlignment="1">
      <alignment horizontal="left" vertical="center" indent="1"/>
    </xf>
    <xf numFmtId="0" fontId="62" fillId="4" borderId="13" xfId="0" applyFont="1" applyFill="1" applyBorder="1" applyAlignment="1">
      <alignment horizontal="left" vertical="center" indent="1"/>
    </xf>
    <xf numFmtId="169" fontId="47" fillId="4" borderId="17" xfId="0" applyNumberFormat="1" applyFont="1" applyFill="1" applyBorder="1" applyAlignment="1">
      <alignment horizontal="center" vertical="center" wrapText="1"/>
    </xf>
    <xf numFmtId="169" fontId="47" fillId="4" borderId="29" xfId="0" applyNumberFormat="1" applyFont="1" applyFill="1" applyBorder="1" applyAlignment="1">
      <alignment horizontal="center" vertical="center" wrapText="1"/>
    </xf>
    <xf numFmtId="0" fontId="52" fillId="9" borderId="0" xfId="0" applyFont="1" applyFill="1" applyAlignment="1">
      <alignment horizontal="left" vertical="center" indent="1"/>
    </xf>
    <xf numFmtId="0" fontId="47" fillId="4" borderId="29" xfId="0" applyFont="1" applyFill="1" applyBorder="1" applyAlignment="1">
      <alignment horizontal="center" vertical="center" wrapText="1"/>
    </xf>
    <xf numFmtId="0" fontId="47" fillId="4" borderId="12" xfId="0" applyFont="1" applyFill="1" applyBorder="1" applyAlignment="1">
      <alignment horizontal="center" vertical="center" wrapText="1"/>
    </xf>
    <xf numFmtId="0" fontId="47" fillId="4" borderId="31" xfId="0" applyFont="1" applyFill="1" applyBorder="1" applyAlignment="1">
      <alignment horizontal="center" vertical="center" wrapText="1"/>
    </xf>
    <xf numFmtId="0" fontId="47" fillId="4" borderId="13" xfId="0" applyFont="1" applyFill="1" applyBorder="1" applyAlignment="1">
      <alignment horizontal="center" vertical="center" wrapText="1"/>
    </xf>
    <xf numFmtId="169" fontId="47" fillId="4" borderId="18" xfId="0" applyNumberFormat="1" applyFont="1" applyFill="1" applyBorder="1" applyAlignment="1">
      <alignment horizontal="center" vertical="center"/>
    </xf>
    <xf numFmtId="169" fontId="47" fillId="4" borderId="16" xfId="0" applyNumberFormat="1" applyFont="1" applyFill="1" applyBorder="1" applyAlignment="1">
      <alignment horizontal="center" vertical="center"/>
    </xf>
    <xf numFmtId="169" fontId="47" fillId="4" borderId="10" xfId="0" applyNumberFormat="1" applyFont="1" applyFill="1" applyBorder="1" applyAlignment="1">
      <alignment horizontal="center" vertical="center"/>
    </xf>
    <xf numFmtId="0" fontId="52" fillId="9" borderId="0" xfId="0" applyFont="1" applyFill="1" applyBorder="1" applyAlignment="1">
      <alignment horizontal="left" vertical="center" wrapText="1" indent="1"/>
    </xf>
    <xf numFmtId="169" fontId="52" fillId="9" borderId="77" xfId="0" applyNumberFormat="1" applyFont="1" applyFill="1" applyBorder="1" applyAlignment="1">
      <alignment horizontal="center" vertical="center" wrapText="1"/>
    </xf>
    <xf numFmtId="171" fontId="47" fillId="4" borderId="22" xfId="0" applyNumberFormat="1" applyFont="1" applyFill="1" applyBorder="1" applyAlignment="1">
      <alignment horizontal="center" vertical="center"/>
    </xf>
    <xf numFmtId="171" fontId="47" fillId="4" borderId="13" xfId="0" applyNumberFormat="1" applyFont="1" applyFill="1" applyBorder="1" applyAlignment="1">
      <alignment horizontal="center" vertical="center"/>
    </xf>
    <xf numFmtId="169" fontId="52" fillId="9" borderId="77" xfId="0" applyNumberFormat="1" applyFont="1" applyFill="1" applyBorder="1" applyAlignment="1">
      <alignment horizontal="center" vertical="center"/>
    </xf>
    <xf numFmtId="0" fontId="47" fillId="4" borderId="21" xfId="0" applyFont="1" applyFill="1" applyBorder="1" applyAlignment="1">
      <alignment horizontal="center" vertical="center" wrapText="1"/>
    </xf>
    <xf numFmtId="0" fontId="47" fillId="4" borderId="7" xfId="0" applyFont="1" applyFill="1" applyBorder="1" applyAlignment="1">
      <alignment horizontal="center" vertical="center" wrapText="1"/>
    </xf>
    <xf numFmtId="0" fontId="47" fillId="4" borderId="22" xfId="0" applyFont="1" applyFill="1" applyBorder="1" applyAlignment="1">
      <alignment horizontal="center" wrapText="1"/>
    </xf>
    <xf numFmtId="0" fontId="47" fillId="4" borderId="13" xfId="0" applyFont="1" applyFill="1" applyBorder="1" applyAlignment="1">
      <alignment horizontal="center" wrapText="1"/>
    </xf>
    <xf numFmtId="169" fontId="47" fillId="4" borderId="29" xfId="0" applyNumberFormat="1" applyFont="1" applyFill="1" applyBorder="1" applyAlignment="1">
      <alignment horizontal="center" vertical="center"/>
    </xf>
    <xf numFmtId="0" fontId="72" fillId="9" borderId="0" xfId="0" applyFont="1" applyFill="1" applyBorder="1" applyAlignment="1">
      <alignment horizontal="center" vertical="center"/>
    </xf>
    <xf numFmtId="169" fontId="72" fillId="9" borderId="0" xfId="0" applyNumberFormat="1" applyFont="1" applyFill="1" applyBorder="1" applyAlignment="1">
      <alignment horizontal="center" vertical="center"/>
    </xf>
    <xf numFmtId="0" fontId="45" fillId="9" borderId="0" xfId="0" applyFont="1" applyFill="1" applyBorder="1" applyAlignment="1">
      <alignment horizontal="left" vertical="center" wrapText="1" indent="1" readingOrder="1"/>
    </xf>
    <xf numFmtId="0" fontId="34" fillId="4" borderId="16" xfId="0" applyFont="1" applyFill="1" applyBorder="1" applyAlignment="1">
      <alignment horizontal="left" vertical="center" wrapText="1" indent="1"/>
    </xf>
    <xf numFmtId="0" fontId="34" fillId="4" borderId="10" xfId="0" applyFont="1" applyFill="1" applyBorder="1" applyAlignment="1">
      <alignment horizontal="left" vertical="center" wrapText="1" indent="1"/>
    </xf>
    <xf numFmtId="169" fontId="34" fillId="4" borderId="6" xfId="8" applyNumberFormat="1" applyFont="1" applyFill="1" applyBorder="1" applyAlignment="1">
      <alignment horizontal="center" vertical="center"/>
    </xf>
    <xf numFmtId="169" fontId="34" fillId="4" borderId="7" xfId="8" applyNumberFormat="1" applyFont="1" applyFill="1" applyBorder="1" applyAlignment="1">
      <alignment horizontal="center" vertical="center"/>
    </xf>
    <xf numFmtId="0" fontId="34" fillId="4" borderId="30" xfId="0" applyFont="1" applyFill="1" applyBorder="1" applyAlignment="1">
      <alignment horizontal="center" vertical="center" wrapText="1"/>
    </xf>
    <xf numFmtId="0" fontId="34" fillId="4" borderId="23" xfId="0" applyFont="1" applyFill="1" applyBorder="1" applyAlignment="1">
      <alignment horizontal="center" vertical="center" wrapText="1"/>
    </xf>
    <xf numFmtId="169" fontId="34" fillId="4" borderId="18" xfId="0" applyNumberFormat="1" applyFont="1" applyFill="1" applyBorder="1" applyAlignment="1">
      <alignment horizontal="center" vertical="center"/>
    </xf>
    <xf numFmtId="169" fontId="34" fillId="4" borderId="11" xfId="0" applyNumberFormat="1" applyFont="1" applyFill="1" applyBorder="1" applyAlignment="1">
      <alignment horizontal="center" vertical="center"/>
    </xf>
    <xf numFmtId="169" fontId="34" fillId="4" borderId="6" xfId="0" applyNumberFormat="1" applyFont="1" applyFill="1" applyBorder="1" applyAlignment="1">
      <alignment horizontal="center" vertical="center"/>
    </xf>
    <xf numFmtId="169" fontId="34" fillId="4" borderId="7" xfId="0" applyNumberFormat="1" applyFont="1" applyFill="1" applyBorder="1" applyAlignment="1">
      <alignment horizontal="center" vertical="center"/>
    </xf>
    <xf numFmtId="169" fontId="34" fillId="4" borderId="22" xfId="0" applyNumberFormat="1" applyFont="1" applyFill="1" applyBorder="1" applyAlignment="1">
      <alignment horizontal="center" vertical="center"/>
    </xf>
    <xf numFmtId="169" fontId="34" fillId="4" borderId="13" xfId="0" applyNumberFormat="1" applyFont="1" applyFill="1" applyBorder="1" applyAlignment="1">
      <alignment horizontal="center" vertical="center"/>
    </xf>
    <xf numFmtId="0" fontId="34" fillId="4" borderId="3" xfId="0" applyFont="1" applyFill="1" applyBorder="1" applyAlignment="1">
      <alignment horizontal="center" vertical="center" wrapText="1"/>
    </xf>
    <xf numFmtId="0" fontId="34" fillId="4" borderId="1" xfId="0" applyFont="1" applyFill="1" applyBorder="1" applyAlignment="1">
      <alignment horizontal="center" vertical="center" wrapText="1"/>
    </xf>
    <xf numFmtId="0" fontId="34" fillId="4" borderId="18" xfId="0" applyFont="1" applyFill="1" applyBorder="1" applyAlignment="1">
      <alignment horizontal="center" vertical="center" wrapText="1"/>
    </xf>
    <xf numFmtId="0" fontId="34" fillId="4" borderId="11" xfId="0" applyFont="1" applyFill="1" applyBorder="1" applyAlignment="1">
      <alignment horizontal="center" vertical="center" wrapText="1"/>
    </xf>
    <xf numFmtId="169" fontId="34" fillId="4" borderId="17" xfId="8" applyNumberFormat="1" applyFont="1" applyFill="1" applyBorder="1" applyAlignment="1">
      <alignment horizontal="center" vertical="center"/>
    </xf>
    <xf numFmtId="169" fontId="34" fillId="4" borderId="12" xfId="8" applyNumberFormat="1" applyFont="1" applyFill="1" applyBorder="1" applyAlignment="1">
      <alignment horizontal="center" vertical="center"/>
    </xf>
    <xf numFmtId="0" fontId="34" fillId="4" borderId="6" xfId="11" applyFont="1" applyFill="1" applyBorder="1" applyAlignment="1">
      <alignment horizontal="left" vertical="center" indent="1"/>
    </xf>
    <xf numFmtId="0" fontId="34" fillId="4" borderId="7" xfId="11" applyFont="1" applyFill="1" applyBorder="1" applyAlignment="1">
      <alignment horizontal="left" vertical="center" indent="1"/>
    </xf>
    <xf numFmtId="0" fontId="34" fillId="4" borderId="20" xfId="0" applyFont="1" applyFill="1" applyBorder="1" applyAlignment="1">
      <alignment horizontal="left" vertical="center" wrapText="1" indent="1"/>
    </xf>
    <xf numFmtId="0" fontId="34" fillId="4" borderId="34" xfId="0" applyFont="1" applyFill="1" applyBorder="1" applyAlignment="1">
      <alignment horizontal="center" vertical="center" wrapText="1"/>
    </xf>
    <xf numFmtId="0" fontId="34" fillId="4" borderId="35" xfId="0" applyFont="1" applyFill="1" applyBorder="1" applyAlignment="1">
      <alignment horizontal="center" vertical="center" wrapText="1"/>
    </xf>
    <xf numFmtId="169" fontId="34" fillId="4" borderId="30" xfId="0" applyNumberFormat="1" applyFont="1" applyFill="1" applyBorder="1" applyAlignment="1">
      <alignment horizontal="center" vertical="center"/>
    </xf>
    <xf numFmtId="169" fontId="34" fillId="4" borderId="23" xfId="0" applyNumberFormat="1" applyFont="1" applyFill="1" applyBorder="1" applyAlignment="1">
      <alignment horizontal="center" vertical="center"/>
    </xf>
    <xf numFmtId="169" fontId="34" fillId="4" borderId="12" xfId="0" applyNumberFormat="1" applyFont="1" applyFill="1" applyBorder="1" applyAlignment="1">
      <alignment horizontal="center" vertical="center"/>
    </xf>
    <xf numFmtId="0" fontId="34" fillId="4" borderId="19" xfId="0" applyFont="1" applyFill="1" applyBorder="1" applyAlignment="1">
      <alignment horizontal="left" vertical="center" indent="1" readingOrder="1"/>
    </xf>
    <xf numFmtId="0" fontId="34" fillId="4" borderId="28" xfId="0" applyFont="1" applyFill="1" applyBorder="1" applyAlignment="1">
      <alignment horizontal="left" vertical="center" indent="1" readingOrder="1"/>
    </xf>
    <xf numFmtId="169" fontId="34" fillId="4" borderId="22" xfId="8" applyNumberFormat="1" applyFont="1" applyFill="1" applyBorder="1" applyAlignment="1">
      <alignment horizontal="center" vertical="center"/>
    </xf>
    <xf numFmtId="169" fontId="34" fillId="4" borderId="13" xfId="8" applyNumberFormat="1" applyFont="1" applyFill="1" applyBorder="1" applyAlignment="1">
      <alignment horizontal="center" vertical="center"/>
    </xf>
    <xf numFmtId="0" fontId="52" fillId="9" borderId="0" xfId="11" applyFont="1" applyFill="1" applyBorder="1" applyAlignment="1">
      <alignment horizontal="left" vertical="center" wrapText="1" indent="1"/>
    </xf>
    <xf numFmtId="0" fontId="52" fillId="9" borderId="0" xfId="8" applyNumberFormat="1" applyFont="1" applyFill="1" applyBorder="1" applyAlignment="1">
      <alignment horizontal="center" vertical="center"/>
    </xf>
    <xf numFmtId="0" fontId="52" fillId="9" borderId="0" xfId="0" applyFont="1" applyFill="1" applyAlignment="1">
      <alignment horizontal="center"/>
    </xf>
    <xf numFmtId="0" fontId="52" fillId="9" borderId="36" xfId="0" applyFont="1" applyFill="1" applyBorder="1" applyAlignment="1">
      <alignment horizontal="center"/>
    </xf>
    <xf numFmtId="0" fontId="34" fillId="4" borderId="22" xfId="11" applyFont="1" applyFill="1" applyBorder="1" applyAlignment="1">
      <alignment horizontal="left" vertical="center" indent="1"/>
    </xf>
    <xf numFmtId="0" fontId="34" fillId="4" borderId="13" xfId="11" applyFont="1" applyFill="1" applyBorder="1" applyAlignment="1">
      <alignment horizontal="left" vertical="center" indent="1"/>
    </xf>
    <xf numFmtId="0" fontId="34" fillId="23" borderId="1" xfId="0" applyFont="1" applyFill="1" applyBorder="1" applyAlignment="1">
      <alignment horizontal="center" vertical="center" textRotation="90"/>
    </xf>
    <xf numFmtId="0" fontId="34" fillId="4" borderId="22" xfId="0" applyFont="1" applyFill="1" applyBorder="1" applyAlignment="1">
      <alignment horizontal="left" vertical="center" indent="1" readingOrder="1"/>
    </xf>
    <xf numFmtId="0" fontId="34" fillId="4" borderId="13" xfId="0" applyFont="1" applyFill="1" applyBorder="1" applyAlignment="1">
      <alignment horizontal="left" vertical="center" indent="1" readingOrder="1"/>
    </xf>
    <xf numFmtId="0" fontId="34" fillId="4" borderId="17" xfId="0" applyFont="1" applyFill="1" applyBorder="1" applyAlignment="1">
      <alignment horizontal="left" vertical="center" indent="1" readingOrder="1"/>
    </xf>
    <xf numFmtId="0" fontId="34" fillId="4" borderId="12" xfId="0" applyFont="1" applyFill="1" applyBorder="1" applyAlignment="1">
      <alignment horizontal="left" vertical="center" indent="1" readingOrder="1"/>
    </xf>
    <xf numFmtId="0" fontId="34" fillId="23" borderId="73" xfId="0" applyFont="1" applyFill="1" applyBorder="1" applyAlignment="1">
      <alignment horizontal="center" vertical="center" textRotation="90"/>
    </xf>
    <xf numFmtId="0" fontId="23" fillId="4" borderId="16" xfId="0" applyFont="1" applyFill="1" applyBorder="1" applyAlignment="1">
      <alignment horizontal="left" vertical="center" wrapText="1" indent="1" readingOrder="1"/>
    </xf>
    <xf numFmtId="0" fontId="23" fillId="4" borderId="10" xfId="0" applyFont="1" applyFill="1" applyBorder="1" applyAlignment="1">
      <alignment horizontal="left" vertical="center" wrapText="1" indent="1" readingOrder="1"/>
    </xf>
    <xf numFmtId="0" fontId="23" fillId="4" borderId="16" xfId="0" applyFont="1" applyFill="1" applyBorder="1" applyAlignment="1">
      <alignment horizontal="center" vertical="center" wrapText="1" readingOrder="1"/>
    </xf>
    <xf numFmtId="0" fontId="23" fillId="4" borderId="10" xfId="0" applyFont="1" applyFill="1" applyBorder="1" applyAlignment="1">
      <alignment horizontal="center" vertical="center" wrapText="1" readingOrder="1"/>
    </xf>
    <xf numFmtId="0" fontId="23" fillId="4" borderId="3" xfId="0" applyFont="1" applyFill="1" applyBorder="1" applyAlignment="1">
      <alignment horizontal="left" vertical="center" wrapText="1" indent="1" readingOrder="1"/>
    </xf>
    <xf numFmtId="0" fontId="23" fillId="4" borderId="1" xfId="0" applyFont="1" applyFill="1" applyBorder="1" applyAlignment="1">
      <alignment horizontal="left" vertical="center" wrapText="1" indent="1" readingOrder="1"/>
    </xf>
    <xf numFmtId="0" fontId="23" fillId="4" borderId="18" xfId="0" applyFont="1" applyFill="1" applyBorder="1" applyAlignment="1">
      <alignment horizontal="left" vertical="center" wrapText="1" indent="1" readingOrder="1"/>
    </xf>
    <xf numFmtId="0" fontId="23" fillId="4" borderId="11" xfId="0" applyFont="1" applyFill="1" applyBorder="1" applyAlignment="1">
      <alignment horizontal="left" vertical="center" wrapText="1" indent="1" readingOrder="1"/>
    </xf>
    <xf numFmtId="0" fontId="34" fillId="4" borderId="20" xfId="0" applyFont="1" applyFill="1" applyBorder="1" applyAlignment="1">
      <alignment horizontal="left" vertical="center" indent="1"/>
    </xf>
    <xf numFmtId="0" fontId="34" fillId="4" borderId="10" xfId="0" applyFont="1" applyFill="1" applyBorder="1" applyAlignment="1">
      <alignment horizontal="left" vertical="center" indent="1"/>
    </xf>
    <xf numFmtId="0" fontId="34" fillId="4" borderId="16" xfId="0" applyFont="1" applyFill="1" applyBorder="1" applyAlignment="1">
      <alignment horizontal="left" vertical="center" indent="1"/>
    </xf>
    <xf numFmtId="0" fontId="41" fillId="4" borderId="0" xfId="0" applyFont="1" applyFill="1" applyBorder="1" applyAlignment="1">
      <alignment horizontal="center" vertical="center" wrapText="1"/>
    </xf>
    <xf numFmtId="165" fontId="41" fillId="4" borderId="0" xfId="0" applyNumberFormat="1" applyFont="1" applyFill="1" applyBorder="1" applyAlignment="1">
      <alignment horizontal="center" vertical="center"/>
    </xf>
    <xf numFmtId="0" fontId="34" fillId="4" borderId="20" xfId="0" applyFont="1" applyFill="1" applyBorder="1" applyAlignment="1">
      <alignment horizontal="center" vertical="center" wrapText="1"/>
    </xf>
    <xf numFmtId="0" fontId="34" fillId="4" borderId="10" xfId="0" applyFont="1" applyFill="1" applyBorder="1" applyAlignment="1">
      <alignment horizontal="center" vertical="center" wrapText="1"/>
    </xf>
    <xf numFmtId="0" fontId="34" fillId="4" borderId="16" xfId="0" applyFont="1" applyFill="1" applyBorder="1" applyAlignment="1">
      <alignment horizontal="center" vertical="center"/>
    </xf>
    <xf numFmtId="0" fontId="34" fillId="4" borderId="10" xfId="0" applyFont="1" applyFill="1" applyBorder="1" applyAlignment="1">
      <alignment horizontal="center" vertical="center"/>
    </xf>
    <xf numFmtId="0" fontId="47" fillId="4" borderId="0" xfId="8" applyNumberFormat="1" applyFont="1" applyFill="1" applyBorder="1" applyAlignment="1">
      <alignment horizontal="center" vertical="center"/>
    </xf>
    <xf numFmtId="0" fontId="47" fillId="4" borderId="2" xfId="8" applyNumberFormat="1" applyFont="1" applyFill="1" applyBorder="1" applyAlignment="1">
      <alignment horizontal="center" vertical="center"/>
    </xf>
    <xf numFmtId="0" fontId="34" fillId="4" borderId="6" xfId="0" applyFont="1" applyFill="1" applyBorder="1" applyAlignment="1">
      <alignment horizontal="left" vertical="center" indent="1" readingOrder="1"/>
    </xf>
    <xf numFmtId="0" fontId="34" fillId="4" borderId="7" xfId="0" applyFont="1" applyFill="1" applyBorder="1" applyAlignment="1">
      <alignment horizontal="left" vertical="center" indent="1" readingOrder="1"/>
    </xf>
    <xf numFmtId="0" fontId="45" fillId="9" borderId="0" xfId="0" applyFont="1" applyFill="1" applyBorder="1" applyAlignment="1">
      <alignment horizontal="center" vertical="center" wrapText="1"/>
    </xf>
    <xf numFmtId="165" fontId="34" fillId="4" borderId="34" xfId="0" applyNumberFormat="1" applyFont="1" applyFill="1" applyBorder="1" applyAlignment="1">
      <alignment horizontal="center" vertical="center"/>
    </xf>
    <xf numFmtId="165" fontId="34" fillId="4" borderId="35" xfId="0" applyNumberFormat="1" applyFont="1" applyFill="1" applyBorder="1" applyAlignment="1">
      <alignment horizontal="center" vertical="center"/>
    </xf>
    <xf numFmtId="165" fontId="34" fillId="4" borderId="3" xfId="0" applyNumberFormat="1" applyFont="1" applyFill="1" applyBorder="1" applyAlignment="1">
      <alignment horizontal="center" vertical="center"/>
    </xf>
    <xf numFmtId="165" fontId="34" fillId="4" borderId="1" xfId="0" applyNumberFormat="1" applyFont="1" applyFill="1" applyBorder="1" applyAlignment="1">
      <alignment horizontal="center" vertical="center"/>
    </xf>
    <xf numFmtId="165" fontId="34" fillId="4" borderId="18" xfId="0" applyNumberFormat="1" applyFont="1" applyFill="1" applyBorder="1" applyAlignment="1">
      <alignment horizontal="center" vertical="center"/>
    </xf>
    <xf numFmtId="165" fontId="34" fillId="4" borderId="11" xfId="0" applyNumberFormat="1" applyFont="1" applyFill="1" applyBorder="1" applyAlignment="1">
      <alignment horizontal="center" vertical="center"/>
    </xf>
    <xf numFmtId="0" fontId="45" fillId="9" borderId="36" xfId="0" applyFont="1" applyFill="1" applyBorder="1" applyAlignment="1">
      <alignment horizontal="center" vertical="center" wrapText="1"/>
    </xf>
    <xf numFmtId="169" fontId="34" fillId="4" borderId="19" xfId="0" applyNumberFormat="1" applyFont="1" applyFill="1" applyBorder="1" applyAlignment="1">
      <alignment horizontal="center" vertical="center"/>
    </xf>
    <xf numFmtId="169" fontId="34" fillId="4" borderId="28" xfId="0" applyNumberFormat="1" applyFont="1" applyFill="1" applyBorder="1" applyAlignment="1">
      <alignment horizontal="center" vertical="center"/>
    </xf>
    <xf numFmtId="0" fontId="45" fillId="9" borderId="0" xfId="0" applyFont="1" applyFill="1" applyBorder="1" applyAlignment="1">
      <alignment horizontal="left" vertical="center" wrapText="1" indent="1"/>
    </xf>
    <xf numFmtId="0" fontId="34" fillId="4" borderId="17" xfId="11" applyFont="1" applyFill="1" applyBorder="1" applyAlignment="1">
      <alignment horizontal="left" vertical="center" indent="1"/>
    </xf>
    <xf numFmtId="0" fontId="34" fillId="4" borderId="12" xfId="11" applyFont="1" applyFill="1" applyBorder="1" applyAlignment="1">
      <alignment horizontal="left" vertical="center" indent="1"/>
    </xf>
    <xf numFmtId="0" fontId="52" fillId="9" borderId="77" xfId="0" applyFont="1" applyFill="1" applyBorder="1" applyAlignment="1">
      <alignment horizontal="center" vertical="center" wrapText="1"/>
    </xf>
    <xf numFmtId="0" fontId="45" fillId="9" borderId="90" xfId="0" applyFont="1" applyFill="1" applyBorder="1" applyAlignment="1">
      <alignment horizontal="center" vertical="center" wrapText="1"/>
    </xf>
    <xf numFmtId="0" fontId="52" fillId="9" borderId="77" xfId="0" applyFont="1" applyFill="1" applyBorder="1" applyAlignment="1">
      <alignment horizontal="center" vertical="center"/>
    </xf>
    <xf numFmtId="169" fontId="34" fillId="4" borderId="6" xfId="0" applyNumberFormat="1" applyFont="1" applyFill="1" applyBorder="1" applyAlignment="1">
      <alignment horizontal="center" vertical="center" wrapText="1"/>
    </xf>
    <xf numFmtId="169" fontId="34" fillId="4" borderId="7" xfId="0" applyNumberFormat="1" applyFont="1" applyFill="1" applyBorder="1" applyAlignment="1">
      <alignment horizontal="center" vertical="center" wrapText="1"/>
    </xf>
    <xf numFmtId="0" fontId="45" fillId="9" borderId="82" xfId="0" applyFont="1" applyFill="1" applyBorder="1" applyAlignment="1">
      <alignment horizontal="center" vertical="center" wrapText="1"/>
    </xf>
    <xf numFmtId="0" fontId="45" fillId="9" borderId="61" xfId="0" applyFont="1" applyFill="1" applyBorder="1" applyAlignment="1">
      <alignment horizontal="center" vertical="center" wrapText="1"/>
    </xf>
    <xf numFmtId="0" fontId="34" fillId="4" borderId="27" xfId="0" applyFont="1" applyFill="1" applyBorder="1" applyAlignment="1">
      <alignment horizontal="left" vertical="center" wrapText="1" indent="1"/>
    </xf>
    <xf numFmtId="0" fontId="34" fillId="4" borderId="23" xfId="0" applyFont="1" applyFill="1" applyBorder="1" applyAlignment="1">
      <alignment horizontal="left" vertical="center" wrapText="1" indent="1"/>
    </xf>
    <xf numFmtId="0" fontId="34" fillId="4" borderId="2" xfId="7" applyFont="1" applyFill="1" applyBorder="1" applyAlignment="1">
      <alignment horizontal="left" vertical="center" wrapText="1" indent="1"/>
    </xf>
    <xf numFmtId="0" fontId="34" fillId="4" borderId="11" xfId="7" applyFont="1" applyFill="1" applyBorder="1" applyAlignment="1">
      <alignment horizontal="left" vertical="center" wrapText="1" indent="1"/>
    </xf>
    <xf numFmtId="169" fontId="34" fillId="4" borderId="18" xfId="0" applyNumberFormat="1" applyFont="1" applyFill="1" applyBorder="1" applyAlignment="1">
      <alignment horizontal="center" vertical="center" wrapText="1"/>
    </xf>
    <xf numFmtId="169" fontId="34" fillId="4" borderId="11" xfId="0" applyNumberFormat="1" applyFont="1" applyFill="1" applyBorder="1" applyAlignment="1">
      <alignment horizontal="center" vertical="center" wrapText="1"/>
    </xf>
    <xf numFmtId="169" fontId="34" fillId="4" borderId="17" xfId="0" applyNumberFormat="1" applyFont="1" applyFill="1" applyBorder="1" applyAlignment="1">
      <alignment horizontal="center" vertical="center" wrapText="1"/>
    </xf>
    <xf numFmtId="169" fontId="34" fillId="4" borderId="12" xfId="0" applyNumberFormat="1" applyFont="1" applyFill="1" applyBorder="1" applyAlignment="1">
      <alignment horizontal="center" vertical="center" wrapText="1"/>
    </xf>
    <xf numFmtId="0" fontId="34" fillId="4" borderId="0" xfId="0" applyFont="1" applyFill="1" applyBorder="1" applyAlignment="1">
      <alignment horizontal="center" vertical="center" textRotation="90" wrapText="1"/>
    </xf>
    <xf numFmtId="0" fontId="34" fillId="4" borderId="2" xfId="0" applyFont="1" applyFill="1" applyBorder="1" applyAlignment="1">
      <alignment horizontal="center" vertical="center" textRotation="90" wrapText="1"/>
    </xf>
    <xf numFmtId="9" fontId="52" fillId="9" borderId="0" xfId="0" applyNumberFormat="1" applyFont="1" applyFill="1" applyBorder="1" applyAlignment="1">
      <alignment horizontal="center" vertical="center"/>
    </xf>
    <xf numFmtId="9" fontId="52" fillId="9" borderId="36" xfId="0" applyNumberFormat="1" applyFont="1" applyFill="1" applyBorder="1" applyAlignment="1">
      <alignment horizontal="center" vertical="center"/>
    </xf>
    <xf numFmtId="0" fontId="57" fillId="9" borderId="77" xfId="0" applyFont="1" applyFill="1" applyBorder="1" applyAlignment="1">
      <alignment horizontal="center" vertical="center" wrapText="1"/>
    </xf>
    <xf numFmtId="0" fontId="57" fillId="9" borderId="36" xfId="0" applyFont="1" applyFill="1" applyBorder="1" applyAlignment="1">
      <alignment horizontal="center" vertical="center" wrapText="1"/>
    </xf>
    <xf numFmtId="0" fontId="45" fillId="9" borderId="85" xfId="0" applyFont="1" applyFill="1" applyBorder="1" applyAlignment="1">
      <alignment horizontal="left" vertical="center" wrapText="1" indent="1"/>
    </xf>
    <xf numFmtId="0" fontId="45" fillId="9" borderId="56" xfId="0" applyFont="1" applyFill="1" applyBorder="1" applyAlignment="1">
      <alignment horizontal="left" vertical="center" wrapText="1" indent="1"/>
    </xf>
    <xf numFmtId="0" fontId="45" fillId="9" borderId="85" xfId="0" applyFont="1" applyFill="1" applyBorder="1" applyAlignment="1">
      <alignment horizontal="left" vertical="center" indent="1"/>
    </xf>
    <xf numFmtId="0" fontId="45" fillId="9" borderId="0" xfId="0" applyFont="1" applyFill="1" applyBorder="1" applyAlignment="1">
      <alignment horizontal="left" vertical="center" indent="1"/>
    </xf>
    <xf numFmtId="0" fontId="45" fillId="9" borderId="56" xfId="0" applyFont="1" applyFill="1" applyBorder="1" applyAlignment="1">
      <alignment horizontal="left" vertical="center" indent="1"/>
    </xf>
    <xf numFmtId="0" fontId="45" fillId="9" borderId="43" xfId="0" applyFont="1" applyFill="1" applyBorder="1" applyAlignment="1">
      <alignment horizontal="left" vertical="center" indent="1"/>
    </xf>
    <xf numFmtId="0" fontId="45" fillId="9" borderId="117" xfId="0" applyFont="1" applyFill="1" applyBorder="1" applyAlignment="1">
      <alignment horizontal="center" vertical="center"/>
    </xf>
    <xf numFmtId="0" fontId="45" fillId="9" borderId="98" xfId="0" applyFont="1" applyFill="1" applyBorder="1" applyAlignment="1">
      <alignment horizontal="center" vertical="center"/>
    </xf>
    <xf numFmtId="0" fontId="45" fillId="9" borderId="118" xfId="0" applyFont="1" applyFill="1" applyBorder="1" applyAlignment="1">
      <alignment horizontal="center" vertical="center"/>
    </xf>
    <xf numFmtId="169" fontId="34" fillId="4" borderId="0" xfId="0" applyNumberFormat="1" applyFont="1" applyFill="1" applyBorder="1" applyAlignment="1">
      <alignment horizontal="center" vertical="center"/>
    </xf>
    <xf numFmtId="169" fontId="34" fillId="4" borderId="1" xfId="0" applyNumberFormat="1" applyFont="1" applyFill="1" applyBorder="1" applyAlignment="1">
      <alignment horizontal="center" vertical="center"/>
    </xf>
    <xf numFmtId="0" fontId="45" fillId="9" borderId="123" xfId="0" applyFont="1" applyFill="1" applyBorder="1" applyAlignment="1">
      <alignment horizontal="center" vertical="center" wrapText="1"/>
    </xf>
    <xf numFmtId="0" fontId="45" fillId="9" borderId="59" xfId="0" applyFont="1" applyFill="1" applyBorder="1" applyAlignment="1">
      <alignment horizontal="center" vertical="center" wrapText="1"/>
    </xf>
    <xf numFmtId="0" fontId="45" fillId="9" borderId="57" xfId="0" applyFont="1" applyFill="1" applyBorder="1" applyAlignment="1">
      <alignment horizontal="center" vertical="center" wrapText="1"/>
    </xf>
    <xf numFmtId="2" fontId="45" fillId="9" borderId="79" xfId="0" applyNumberFormat="1" applyFont="1" applyFill="1" applyBorder="1" applyAlignment="1">
      <alignment horizontal="center" vertical="center" wrapText="1"/>
    </xf>
    <xf numFmtId="2" fontId="45" fillId="9" borderId="61" xfId="0" applyNumberFormat="1" applyFont="1" applyFill="1" applyBorder="1" applyAlignment="1">
      <alignment horizontal="center" vertical="center" wrapText="1"/>
    </xf>
    <xf numFmtId="2" fontId="45" fillId="9" borderId="80" xfId="0" applyNumberFormat="1" applyFont="1" applyFill="1" applyBorder="1" applyAlignment="1">
      <alignment horizontal="center" vertical="center" wrapText="1"/>
    </xf>
    <xf numFmtId="169" fontId="34" fillId="4" borderId="57" xfId="0" applyNumberFormat="1" applyFont="1" applyFill="1" applyBorder="1" applyAlignment="1">
      <alignment horizontal="center" vertical="center"/>
    </xf>
    <xf numFmtId="169" fontId="34" fillId="4" borderId="29" xfId="0" applyNumberFormat="1" applyFont="1" applyFill="1" applyBorder="1" applyAlignment="1">
      <alignment horizontal="center" vertical="center"/>
    </xf>
    <xf numFmtId="169" fontId="34" fillId="4" borderId="119" xfId="0" applyNumberFormat="1" applyFont="1" applyFill="1" applyBorder="1" applyAlignment="1">
      <alignment horizontal="center" vertical="center"/>
    </xf>
    <xf numFmtId="0" fontId="45" fillId="9" borderId="56" xfId="0" applyFont="1" applyFill="1" applyBorder="1" applyAlignment="1">
      <alignment horizontal="center" vertical="center"/>
    </xf>
    <xf numFmtId="0" fontId="45" fillId="9" borderId="60" xfId="0" applyFont="1" applyFill="1" applyBorder="1" applyAlignment="1">
      <alignment horizontal="center" vertical="center" wrapText="1"/>
    </xf>
    <xf numFmtId="0" fontId="57" fillId="9" borderId="0" xfId="0" applyFont="1" applyFill="1" applyBorder="1" applyAlignment="1">
      <alignment horizontal="center" vertical="center" wrapText="1"/>
    </xf>
    <xf numFmtId="169" fontId="34" fillId="4" borderId="121" xfId="0" applyNumberFormat="1" applyFont="1" applyFill="1" applyBorder="1" applyAlignment="1">
      <alignment horizontal="center" vertical="center"/>
    </xf>
    <xf numFmtId="169" fontId="34" fillId="4" borderId="120" xfId="0" applyNumberFormat="1" applyFont="1" applyFill="1" applyBorder="1" applyAlignment="1">
      <alignment horizontal="center" vertical="center"/>
    </xf>
    <xf numFmtId="169" fontId="34" fillId="4" borderId="122" xfId="0" applyNumberFormat="1" applyFont="1" applyFill="1" applyBorder="1" applyAlignment="1">
      <alignment horizontal="center" vertical="center"/>
    </xf>
    <xf numFmtId="169" fontId="34" fillId="4" borderId="2" xfId="0" applyNumberFormat="1" applyFont="1" applyFill="1" applyBorder="1" applyAlignment="1">
      <alignment horizontal="center" vertical="center"/>
    </xf>
    <xf numFmtId="0" fontId="57" fillId="9" borderId="82" xfId="0" applyFont="1" applyFill="1" applyBorder="1" applyAlignment="1">
      <alignment horizontal="center" vertical="center" wrapText="1"/>
    </xf>
    <xf numFmtId="0" fontId="45" fillId="9" borderId="83" xfId="0" applyFont="1" applyFill="1" applyBorder="1" applyAlignment="1">
      <alignment horizontal="center" vertical="center" wrapText="1"/>
    </xf>
    <xf numFmtId="0" fontId="45" fillId="9" borderId="43" xfId="0" applyFont="1" applyFill="1" applyBorder="1" applyAlignment="1">
      <alignment horizontal="center" vertical="center" wrapText="1"/>
    </xf>
    <xf numFmtId="0" fontId="34" fillId="16" borderId="57" xfId="0" applyFont="1" applyFill="1" applyBorder="1" applyAlignment="1">
      <alignment horizontal="center" vertical="center" textRotation="90"/>
    </xf>
    <xf numFmtId="0" fontId="34" fillId="16" borderId="115" xfId="0" applyFont="1" applyFill="1" applyBorder="1" applyAlignment="1">
      <alignment horizontal="center" vertical="center" textRotation="90"/>
    </xf>
    <xf numFmtId="0" fontId="45" fillId="9" borderId="78" xfId="0" applyFont="1" applyFill="1" applyBorder="1" applyAlignment="1">
      <alignment horizontal="center" vertical="center" wrapText="1"/>
    </xf>
    <xf numFmtId="0" fontId="45" fillId="9" borderId="44" xfId="0" applyFont="1" applyFill="1" applyBorder="1" applyAlignment="1">
      <alignment horizontal="center" vertical="center" wrapText="1"/>
    </xf>
    <xf numFmtId="0" fontId="45" fillId="9" borderId="77" xfId="0" applyFont="1" applyFill="1" applyBorder="1" applyAlignment="1">
      <alignment horizontal="center" vertical="center" wrapText="1"/>
    </xf>
    <xf numFmtId="0" fontId="34" fillId="16" borderId="0" xfId="0" applyFont="1" applyFill="1" applyBorder="1" applyAlignment="1">
      <alignment horizontal="center" vertical="center" textRotation="90"/>
    </xf>
    <xf numFmtId="169" fontId="34" fillId="4" borderId="81" xfId="0" applyNumberFormat="1" applyFont="1" applyFill="1" applyBorder="1" applyAlignment="1">
      <alignment horizontal="center" vertical="center"/>
    </xf>
    <xf numFmtId="9" fontId="52" fillId="9" borderId="0" xfId="0" applyNumberFormat="1" applyFont="1" applyFill="1" applyBorder="1" applyAlignment="1">
      <alignment horizontal="left" vertical="center" indent="1"/>
    </xf>
    <xf numFmtId="0" fontId="45" fillId="9" borderId="43" xfId="0" applyFont="1" applyFill="1" applyBorder="1" applyAlignment="1">
      <alignment horizontal="center" vertical="center"/>
    </xf>
    <xf numFmtId="0" fontId="45" fillId="9" borderId="84" xfId="0" applyFont="1" applyFill="1" applyBorder="1" applyAlignment="1">
      <alignment horizontal="center" vertical="center"/>
    </xf>
    <xf numFmtId="0" fontId="45" fillId="9" borderId="61" xfId="0" applyFont="1" applyFill="1" applyBorder="1" applyAlignment="1">
      <alignment horizontal="center" vertical="center"/>
    </xf>
    <xf numFmtId="0" fontId="61" fillId="9" borderId="77" xfId="0" applyFont="1" applyFill="1" applyBorder="1" applyAlignment="1">
      <alignment horizontal="center" vertical="center"/>
    </xf>
    <xf numFmtId="0" fontId="61" fillId="9" borderId="36" xfId="0" applyFont="1" applyFill="1" applyBorder="1" applyAlignment="1">
      <alignment horizontal="center" vertical="center"/>
    </xf>
    <xf numFmtId="0" fontId="45" fillId="15" borderId="77" xfId="0" applyFont="1" applyFill="1" applyBorder="1" applyAlignment="1">
      <alignment horizontal="center" vertical="center" wrapText="1"/>
    </xf>
    <xf numFmtId="0" fontId="45" fillId="15" borderId="0" xfId="0" applyFont="1" applyFill="1" applyBorder="1" applyAlignment="1">
      <alignment horizontal="center" vertical="center" wrapText="1"/>
    </xf>
    <xf numFmtId="0" fontId="45" fillId="15" borderId="36" xfId="0" applyFont="1" applyFill="1" applyBorder="1" applyAlignment="1">
      <alignment horizontal="center" vertical="center" wrapText="1"/>
    </xf>
    <xf numFmtId="0" fontId="34" fillId="16" borderId="110" xfId="0" applyFont="1" applyFill="1" applyBorder="1" applyAlignment="1">
      <alignment horizontal="center" vertical="center" textRotation="90"/>
    </xf>
    <xf numFmtId="0" fontId="45" fillId="15" borderId="2" xfId="0" applyFont="1" applyFill="1" applyBorder="1" applyAlignment="1">
      <alignment horizontal="left" vertical="center" indent="1"/>
    </xf>
    <xf numFmtId="0" fontId="45" fillId="15" borderId="0" xfId="0" applyFont="1" applyFill="1" applyBorder="1" applyAlignment="1">
      <alignment horizontal="left" vertical="center" indent="1"/>
    </xf>
    <xf numFmtId="0" fontId="45" fillId="15" borderId="86" xfId="0" applyFont="1" applyFill="1" applyBorder="1" applyAlignment="1">
      <alignment horizontal="left" vertical="center" indent="1"/>
    </xf>
    <xf numFmtId="0" fontId="45" fillId="15" borderId="1" xfId="0" applyFont="1" applyFill="1" applyBorder="1" applyAlignment="1">
      <alignment horizontal="center" vertical="center"/>
    </xf>
    <xf numFmtId="0" fontId="45" fillId="15" borderId="0" xfId="0" applyFont="1" applyFill="1" applyBorder="1" applyAlignment="1">
      <alignment horizontal="center" vertical="center"/>
    </xf>
    <xf numFmtId="0" fontId="45" fillId="15" borderId="87" xfId="0" applyFont="1" applyFill="1" applyBorder="1" applyAlignment="1">
      <alignment horizontal="center" vertical="center"/>
    </xf>
    <xf numFmtId="0" fontId="45" fillId="15" borderId="88" xfId="0" applyFont="1" applyFill="1" applyBorder="1" applyAlignment="1">
      <alignment horizontal="center" vertical="center"/>
    </xf>
    <xf numFmtId="0" fontId="45" fillId="15" borderId="36" xfId="0" applyFont="1" applyFill="1" applyBorder="1" applyAlignment="1">
      <alignment horizontal="center" vertical="center"/>
    </xf>
    <xf numFmtId="0" fontId="45" fillId="15" borderId="89" xfId="0" applyFont="1" applyFill="1" applyBorder="1" applyAlignment="1">
      <alignment horizontal="center" vertical="center"/>
    </xf>
    <xf numFmtId="169" fontId="19" fillId="13" borderId="27" xfId="31" applyNumberFormat="1" applyFont="1" applyFill="1" applyBorder="1" applyAlignment="1">
      <alignment horizontal="center" vertical="center"/>
    </xf>
    <xf numFmtId="169" fontId="19" fillId="13" borderId="23" xfId="31" applyNumberFormat="1" applyFont="1" applyFill="1" applyBorder="1" applyAlignment="1">
      <alignment horizontal="center" vertical="center"/>
    </xf>
    <xf numFmtId="0" fontId="47" fillId="4" borderId="0" xfId="0" applyFont="1" applyFill="1" applyBorder="1" applyAlignment="1">
      <alignment horizontal="left" vertical="center" wrapText="1"/>
    </xf>
    <xf numFmtId="3" fontId="16" fillId="12" borderId="19" xfId="0" applyNumberFormat="1" applyFont="1" applyFill="1" applyBorder="1" applyAlignment="1">
      <alignment horizontal="center" vertical="center"/>
    </xf>
    <xf numFmtId="3" fontId="16" fillId="12" borderId="28" xfId="0" applyNumberFormat="1" applyFont="1" applyFill="1" applyBorder="1" applyAlignment="1">
      <alignment horizontal="center" vertical="center"/>
    </xf>
    <xf numFmtId="0" fontId="34" fillId="4" borderId="22" xfId="0" applyFont="1" applyFill="1" applyBorder="1" applyAlignment="1">
      <alignment horizontal="center" vertical="center"/>
    </xf>
    <xf numFmtId="0" fontId="34" fillId="4" borderId="31" xfId="0" applyFont="1" applyFill="1" applyBorder="1" applyAlignment="1">
      <alignment horizontal="center" vertical="center"/>
    </xf>
    <xf numFmtId="0" fontId="34" fillId="4" borderId="13" xfId="0" applyFont="1" applyFill="1" applyBorder="1" applyAlignment="1">
      <alignment horizontal="center" vertical="center"/>
    </xf>
    <xf numFmtId="0" fontId="19" fillId="4" borderId="22" xfId="0" applyFont="1" applyFill="1" applyBorder="1" applyAlignment="1">
      <alignment horizontal="left" vertical="center" indent="1"/>
    </xf>
    <xf numFmtId="0" fontId="19" fillId="4" borderId="13" xfId="0" applyFont="1" applyFill="1" applyBorder="1" applyAlignment="1">
      <alignment horizontal="left" vertical="center" indent="1"/>
    </xf>
    <xf numFmtId="0" fontId="19" fillId="4" borderId="19" xfId="0" applyFont="1" applyFill="1" applyBorder="1" applyAlignment="1">
      <alignment horizontal="left" vertical="center" indent="1"/>
    </xf>
    <xf numFmtId="0" fontId="19" fillId="4" borderId="28" xfId="0" applyFont="1" applyFill="1" applyBorder="1" applyAlignment="1">
      <alignment horizontal="left" vertical="center" indent="1"/>
    </xf>
    <xf numFmtId="0" fontId="19" fillId="4" borderId="30" xfId="0" applyFont="1" applyFill="1" applyBorder="1" applyAlignment="1">
      <alignment horizontal="left" vertical="center" wrapText="1" indent="1"/>
    </xf>
    <xf numFmtId="0" fontId="19" fillId="4" borderId="23" xfId="0" applyFont="1" applyFill="1" applyBorder="1" applyAlignment="1">
      <alignment horizontal="left" vertical="center" wrapText="1" indent="1"/>
    </xf>
    <xf numFmtId="0" fontId="34" fillId="4" borderId="30" xfId="0" applyFont="1" applyFill="1" applyBorder="1" applyAlignment="1">
      <alignment horizontal="left" vertical="center" indent="1"/>
    </xf>
    <xf numFmtId="0" fontId="34" fillId="4" borderId="23" xfId="0" applyFont="1" applyFill="1" applyBorder="1" applyAlignment="1">
      <alignment horizontal="left" vertical="center" indent="1"/>
    </xf>
    <xf numFmtId="0" fontId="34" fillId="4" borderId="22" xfId="0" applyFont="1" applyFill="1" applyBorder="1" applyAlignment="1">
      <alignment horizontal="left" vertical="center" indent="1"/>
    </xf>
    <xf numFmtId="0" fontId="34" fillId="4" borderId="13" xfId="0" applyFont="1" applyFill="1" applyBorder="1" applyAlignment="1">
      <alignment horizontal="left" vertical="center" indent="1"/>
    </xf>
    <xf numFmtId="0" fontId="34" fillId="4" borderId="34" xfId="0" applyFont="1" applyFill="1" applyBorder="1" applyAlignment="1">
      <alignment horizontal="left" vertical="center" indent="1"/>
    </xf>
    <xf numFmtId="169" fontId="34" fillId="4" borderId="20" xfId="0" applyNumberFormat="1" applyFont="1" applyFill="1" applyBorder="1" applyAlignment="1">
      <alignment horizontal="center" vertical="center"/>
    </xf>
    <xf numFmtId="169" fontId="34" fillId="4" borderId="8" xfId="0" applyNumberFormat="1" applyFont="1" applyFill="1" applyBorder="1" applyAlignment="1">
      <alignment horizontal="center" vertical="center"/>
    </xf>
    <xf numFmtId="0" fontId="45" fillId="9" borderId="0" xfId="0" applyFont="1" applyFill="1" applyBorder="1" applyAlignment="1">
      <alignment horizontal="center"/>
    </xf>
    <xf numFmtId="0" fontId="45" fillId="9" borderId="36" xfId="0" applyFont="1" applyFill="1" applyBorder="1" applyAlignment="1">
      <alignment horizontal="center"/>
    </xf>
    <xf numFmtId="169" fontId="19" fillId="4" borderId="3" xfId="0" applyNumberFormat="1" applyFont="1" applyFill="1" applyBorder="1" applyAlignment="1">
      <alignment horizontal="center" vertical="center"/>
    </xf>
    <xf numFmtId="169" fontId="19" fillId="4" borderId="0" xfId="0" applyNumberFormat="1" applyFont="1" applyFill="1" applyBorder="1" applyAlignment="1">
      <alignment horizontal="center" vertical="center"/>
    </xf>
    <xf numFmtId="169" fontId="19" fillId="4" borderId="17" xfId="0" applyNumberFormat="1" applyFont="1" applyFill="1" applyBorder="1" applyAlignment="1">
      <alignment horizontal="center" vertical="center"/>
    </xf>
    <xf numFmtId="169" fontId="19" fillId="4" borderId="29" xfId="0" applyNumberFormat="1" applyFont="1" applyFill="1" applyBorder="1" applyAlignment="1">
      <alignment horizontal="center" vertical="center"/>
    </xf>
    <xf numFmtId="169" fontId="19" fillId="4" borderId="22" xfId="0" applyNumberFormat="1" applyFont="1" applyFill="1" applyBorder="1" applyAlignment="1">
      <alignment horizontal="center" vertical="center"/>
    </xf>
    <xf numFmtId="169" fontId="19" fillId="4" borderId="31" xfId="0" applyNumberFormat="1" applyFont="1" applyFill="1" applyBorder="1" applyAlignment="1">
      <alignment horizontal="center" vertical="center"/>
    </xf>
    <xf numFmtId="6" fontId="52" fillId="9" borderId="0" xfId="0" applyNumberFormat="1" applyFont="1" applyFill="1" applyBorder="1" applyAlignment="1">
      <alignment horizontal="center" vertical="center"/>
    </xf>
    <xf numFmtId="6" fontId="52" fillId="9" borderId="36" xfId="0" applyNumberFormat="1" applyFont="1" applyFill="1" applyBorder="1" applyAlignment="1">
      <alignment horizontal="center" vertical="center"/>
    </xf>
    <xf numFmtId="170" fontId="19" fillId="4" borderId="3" xfId="0" applyNumberFormat="1" applyFont="1" applyFill="1" applyBorder="1" applyAlignment="1">
      <alignment horizontal="center" vertical="center"/>
    </xf>
    <xf numFmtId="170" fontId="19" fillId="4" borderId="1" xfId="0" applyNumberFormat="1" applyFont="1" applyFill="1" applyBorder="1" applyAlignment="1">
      <alignment horizontal="center" vertical="center"/>
    </xf>
    <xf numFmtId="170" fontId="19" fillId="4" borderId="17" xfId="0" applyNumberFormat="1" applyFont="1" applyFill="1" applyBorder="1" applyAlignment="1">
      <alignment horizontal="center" vertical="center"/>
    </xf>
    <xf numFmtId="170" fontId="19" fillId="4" borderId="12" xfId="0" applyNumberFormat="1" applyFont="1" applyFill="1" applyBorder="1" applyAlignment="1">
      <alignment horizontal="center" vertical="center"/>
    </xf>
    <xf numFmtId="170" fontId="19" fillId="4" borderId="22" xfId="0" applyNumberFormat="1" applyFont="1" applyFill="1" applyBorder="1" applyAlignment="1">
      <alignment horizontal="center" vertical="center"/>
    </xf>
    <xf numFmtId="170" fontId="19" fillId="4" borderId="13" xfId="0" applyNumberFormat="1" applyFont="1" applyFill="1" applyBorder="1" applyAlignment="1">
      <alignment horizontal="center" vertical="center"/>
    </xf>
    <xf numFmtId="0" fontId="45" fillId="9" borderId="77" xfId="0" applyFont="1" applyFill="1" applyBorder="1" applyAlignment="1">
      <alignment horizontal="left" vertical="center" indent="1"/>
    </xf>
    <xf numFmtId="0" fontId="45" fillId="9" borderId="54" xfId="0" applyFont="1" applyFill="1" applyBorder="1" applyAlignment="1">
      <alignment horizontal="left" vertical="center" indent="1"/>
    </xf>
    <xf numFmtId="0" fontId="45" fillId="9" borderId="50" xfId="0" applyFont="1" applyFill="1" applyBorder="1" applyAlignment="1">
      <alignment horizontal="center" vertical="center"/>
    </xf>
    <xf numFmtId="0" fontId="19" fillId="4" borderId="18" xfId="0" applyFont="1" applyFill="1" applyBorder="1" applyAlignment="1">
      <alignment horizontal="center" vertical="center"/>
    </xf>
    <xf numFmtId="0" fontId="19" fillId="4" borderId="11" xfId="0" applyFont="1" applyFill="1" applyBorder="1" applyAlignment="1">
      <alignment horizontal="center" vertical="center"/>
    </xf>
    <xf numFmtId="0" fontId="34" fillId="16" borderId="1" xfId="0" applyFont="1" applyFill="1" applyBorder="1" applyAlignment="1">
      <alignment horizontal="center" vertical="center" textRotation="90"/>
    </xf>
    <xf numFmtId="0" fontId="34" fillId="16" borderId="93" xfId="0" applyFont="1" applyFill="1" applyBorder="1" applyAlignment="1">
      <alignment horizontal="center" vertical="center" textRotation="90"/>
    </xf>
    <xf numFmtId="169" fontId="19" fillId="4" borderId="12" xfId="0" applyNumberFormat="1" applyFont="1" applyFill="1" applyBorder="1" applyAlignment="1">
      <alignment horizontal="center" vertical="center"/>
    </xf>
    <xf numFmtId="169" fontId="19" fillId="4" borderId="13" xfId="0" applyNumberFormat="1" applyFont="1" applyFill="1" applyBorder="1" applyAlignment="1">
      <alignment horizontal="center" vertical="center"/>
    </xf>
    <xf numFmtId="0" fontId="2" fillId="4" borderId="0" xfId="0" applyNumberFormat="1" applyFont="1" applyFill="1" applyBorder="1" applyAlignment="1">
      <alignment horizontal="left" vertical="center" wrapText="1"/>
    </xf>
    <xf numFmtId="0" fontId="3" fillId="4" borderId="0" xfId="0" applyNumberFormat="1" applyFont="1" applyFill="1" applyBorder="1" applyAlignment="1">
      <alignment horizontal="left" vertical="center" wrapText="1"/>
    </xf>
    <xf numFmtId="0" fontId="34" fillId="4" borderId="4" xfId="0" applyFont="1" applyFill="1" applyBorder="1" applyAlignment="1">
      <alignment horizontal="left" vertical="center" indent="1"/>
    </xf>
    <xf numFmtId="0" fontId="34" fillId="4" borderId="9" xfId="0" applyFont="1" applyFill="1" applyBorder="1" applyAlignment="1">
      <alignment horizontal="left" vertical="center" indent="1"/>
    </xf>
    <xf numFmtId="0" fontId="19" fillId="3" borderId="0" xfId="0" applyNumberFormat="1" applyFont="1" applyFill="1" applyAlignment="1">
      <alignment horizontal="left" vertical="center" wrapText="1"/>
    </xf>
    <xf numFmtId="0" fontId="34" fillId="4" borderId="0" xfId="0" applyFont="1" applyFill="1" applyAlignment="1"/>
    <xf numFmtId="0" fontId="55" fillId="9" borderId="37" xfId="0" applyFont="1" applyFill="1" applyBorder="1" applyAlignment="1">
      <alignment horizontal="center" vertical="center" wrapText="1"/>
    </xf>
    <xf numFmtId="0" fontId="55" fillId="9" borderId="50" xfId="0" applyFont="1" applyFill="1" applyBorder="1" applyAlignment="1">
      <alignment horizontal="center" vertical="center" wrapText="1"/>
    </xf>
    <xf numFmtId="0" fontId="19" fillId="0" borderId="30" xfId="0" applyFont="1" applyBorder="1" applyAlignment="1">
      <alignment horizontal="left" vertical="center" wrapText="1" indent="1"/>
    </xf>
    <xf numFmtId="0" fontId="19" fillId="0" borderId="23" xfId="0" applyFont="1" applyBorder="1" applyAlignment="1">
      <alignment horizontal="left" vertical="center" wrapText="1" indent="1"/>
    </xf>
    <xf numFmtId="0" fontId="55" fillId="9" borderId="0" xfId="0" applyFont="1" applyFill="1" applyBorder="1" applyAlignment="1">
      <alignment horizontal="center" vertical="center"/>
    </xf>
    <xf numFmtId="0" fontId="55" fillId="9" borderId="36" xfId="0" applyFont="1" applyFill="1" applyBorder="1" applyAlignment="1">
      <alignment horizontal="center" vertical="center"/>
    </xf>
    <xf numFmtId="49" fontId="19" fillId="0" borderId="114" xfId="0" applyNumberFormat="1" applyFont="1" applyBorder="1" applyAlignment="1">
      <alignment horizontal="center" vertical="center"/>
    </xf>
    <xf numFmtId="49" fontId="19" fillId="0" borderId="16" xfId="0" applyNumberFormat="1" applyFont="1" applyBorder="1" applyAlignment="1">
      <alignment horizontal="center" vertical="center"/>
    </xf>
    <xf numFmtId="49" fontId="19" fillId="0" borderId="10" xfId="0" applyNumberFormat="1" applyFont="1" applyBorder="1" applyAlignment="1">
      <alignment horizontal="center" vertical="center"/>
    </xf>
    <xf numFmtId="0" fontId="19" fillId="0" borderId="30" xfId="0" applyFont="1" applyBorder="1" applyAlignment="1">
      <alignment horizontal="left" vertical="top" wrapText="1" indent="1"/>
    </xf>
    <xf numFmtId="0" fontId="19" fillId="0" borderId="23" xfId="0" applyFont="1" applyBorder="1" applyAlignment="1">
      <alignment horizontal="left" vertical="top" wrapText="1" indent="1"/>
    </xf>
    <xf numFmtId="0" fontId="19" fillId="0" borderId="30" xfId="0" applyFont="1" applyBorder="1" applyAlignment="1">
      <alignment horizontal="left" vertical="center" indent="1"/>
    </xf>
    <xf numFmtId="0" fontId="19" fillId="0" borderId="23" xfId="0" applyFont="1" applyBorder="1" applyAlignment="1">
      <alignment horizontal="left" vertical="center" indent="1"/>
    </xf>
    <xf numFmtId="0" fontId="34" fillId="4" borderId="8" xfId="0" applyFont="1" applyFill="1" applyBorder="1" applyAlignment="1">
      <alignment horizontal="left" vertical="center" indent="1"/>
    </xf>
    <xf numFmtId="0" fontId="34" fillId="4" borderId="3" xfId="0" applyFont="1" applyFill="1" applyBorder="1" applyAlignment="1">
      <alignment horizontal="left" vertical="center" indent="1"/>
    </xf>
    <xf numFmtId="0" fontId="34" fillId="4" borderId="1" xfId="0" applyFont="1" applyFill="1" applyBorder="1" applyAlignment="1">
      <alignment horizontal="left" vertical="center" indent="1"/>
    </xf>
    <xf numFmtId="0" fontId="19" fillId="0" borderId="91" xfId="0" applyFont="1" applyBorder="1" applyAlignment="1">
      <alignment horizontal="left" vertical="top" wrapText="1" indent="1"/>
    </xf>
    <xf numFmtId="0" fontId="19" fillId="0" borderId="92" xfId="0" applyFont="1" applyBorder="1" applyAlignment="1">
      <alignment horizontal="left" vertical="top" wrapText="1" indent="1"/>
    </xf>
    <xf numFmtId="0" fontId="19" fillId="0" borderId="34" xfId="0" applyFont="1" applyBorder="1" applyAlignment="1">
      <alignment horizontal="left" vertical="center" wrapText="1" indent="1"/>
    </xf>
    <xf numFmtId="0" fontId="19" fillId="0" borderId="35" xfId="0" applyFont="1" applyBorder="1" applyAlignment="1">
      <alignment horizontal="left" vertical="center" wrapText="1" indent="1"/>
    </xf>
    <xf numFmtId="0" fontId="19" fillId="0" borderId="91" xfId="0" applyFont="1" applyBorder="1" applyAlignment="1">
      <alignment horizontal="left" vertical="center" indent="1"/>
    </xf>
    <xf numFmtId="0" fontId="19" fillId="0" borderId="92" xfId="0" applyFont="1" applyBorder="1" applyAlignment="1">
      <alignment horizontal="left" vertical="center" indent="1"/>
    </xf>
    <xf numFmtId="0" fontId="29" fillId="3" borderId="0" xfId="0" applyFont="1" applyFill="1" applyAlignment="1">
      <alignment horizontal="center" vertical="center"/>
    </xf>
    <xf numFmtId="0" fontId="26" fillId="0" borderId="0" xfId="5" applyAlignment="1">
      <alignment horizontal="left" vertical="center"/>
    </xf>
    <xf numFmtId="0" fontId="0" fillId="0" borderId="0" xfId="0" applyAlignment="1">
      <alignment horizontal="left" vertical="center"/>
    </xf>
    <xf numFmtId="0" fontId="4" fillId="4" borderId="0" xfId="0" applyFont="1" applyFill="1" applyAlignment="1">
      <alignment horizontal="right" wrapText="1"/>
    </xf>
    <xf numFmtId="0" fontId="26" fillId="4" borderId="0" xfId="5" applyFill="1" applyAlignment="1" applyProtection="1">
      <alignment horizontal="left"/>
    </xf>
    <xf numFmtId="0" fontId="0" fillId="4" borderId="0" xfId="0" applyFill="1" applyAlignment="1">
      <alignment horizontal="left"/>
    </xf>
    <xf numFmtId="0" fontId="8" fillId="3" borderId="0" xfId="0" applyFont="1" applyFill="1" applyAlignment="1">
      <alignment horizontal="center" vertical="center" wrapText="1"/>
    </xf>
    <xf numFmtId="0" fontId="26" fillId="4" borderId="0" xfId="5" applyFill="1" applyAlignment="1" applyProtection="1">
      <alignment horizontal="left" vertical="top" wrapText="1"/>
    </xf>
    <xf numFmtId="0" fontId="8" fillId="4" borderId="0" xfId="0" applyFont="1" applyFill="1" applyAlignment="1">
      <alignment horizontal="left" vertical="top" wrapText="1"/>
    </xf>
  </cellXfs>
  <cellStyles count="39">
    <cellStyle name="Dziesiętny" xfId="1" builtinId="3"/>
    <cellStyle name="Dziesiętny 2" xfId="2"/>
    <cellStyle name="Dziesiętny 2 2" xfId="3"/>
    <cellStyle name="Dziesiętny 3" xfId="4"/>
    <cellStyle name="Hiperłącze" xfId="5" builtinId="8"/>
    <cellStyle name="Hiperłącze 2" xfId="6"/>
    <cellStyle name="Normalny" xfId="0" builtinId="0"/>
    <cellStyle name="Normalny 10" xfId="7"/>
    <cellStyle name="Normalny 10 2" xfId="8"/>
    <cellStyle name="Normalny 11" xfId="9"/>
    <cellStyle name="Normalny 12" xfId="10"/>
    <cellStyle name="Normalny 13" xfId="11"/>
    <cellStyle name="Normalny 2" xfId="12"/>
    <cellStyle name="Normalny 3" xfId="13"/>
    <cellStyle name="Normalny 3 2" xfId="14"/>
    <cellStyle name="Normalny 4" xfId="15"/>
    <cellStyle name="Normalny 4 2" xfId="16"/>
    <cellStyle name="Normalny 5" xfId="17"/>
    <cellStyle name="Normalny 5 2" xfId="18"/>
    <cellStyle name="Normalny 5 2 2" xfId="19"/>
    <cellStyle name="Normalny 5 3" xfId="20"/>
    <cellStyle name="Normalny 6" xfId="21"/>
    <cellStyle name="Normalny 6 2" xfId="22"/>
    <cellStyle name="Normalny 7" xfId="23"/>
    <cellStyle name="Normalny 7 2" xfId="24"/>
    <cellStyle name="Normalny 7 2 2" xfId="25"/>
    <cellStyle name="Normalny 7 3" xfId="26"/>
    <cellStyle name="Normalny 8" xfId="27"/>
    <cellStyle name="Normalny 8 2" xfId="28"/>
    <cellStyle name="Normalny 9" xfId="29"/>
    <cellStyle name="Normalny 9 2" xfId="30"/>
    <cellStyle name="Procentowy" xfId="31" builtinId="5"/>
    <cellStyle name="Procentowy 2" xfId="32"/>
    <cellStyle name="Procentowy 2 2" xfId="33"/>
    <cellStyle name="Procentowy 3" xfId="34"/>
    <cellStyle name="Walutowy" xfId="35" builtinId="4"/>
    <cellStyle name="Walutowy 2" xfId="36"/>
    <cellStyle name="Walutowy 2 2" xfId="37"/>
    <cellStyle name="Walutowy 3" xfId="38"/>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35AD8"/>
      <color rgb="FF3C31CD"/>
      <color rgb="FF2A2593"/>
      <color rgb="FF9A5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9" fmlaLink="$A$30" fmlaRange="$Z$7:$Z$8" sel="1"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3.jpeg"/></Relationships>
</file>

<file path=xl/drawings/_rels/drawing2.xml.rels><?xml version="1.0" encoding="UTF-8" standalone="yes"?>
<Relationships xmlns="http://schemas.openxmlformats.org/package/2006/relationships"><Relationship Id="rId8" Type="http://schemas.openxmlformats.org/officeDocument/2006/relationships/image" Target="../media/image11.png"/><Relationship Id="rId3" Type="http://schemas.openxmlformats.org/officeDocument/2006/relationships/image" Target="../media/image7.png"/><Relationship Id="rId7" Type="http://schemas.openxmlformats.org/officeDocument/2006/relationships/image" Target="../media/image10.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4.png"/><Relationship Id="rId5" Type="http://schemas.openxmlformats.org/officeDocument/2006/relationships/image" Target="../media/image9.png"/><Relationship Id="rId4" Type="http://schemas.openxmlformats.org/officeDocument/2006/relationships/image" Target="../media/image8.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2.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6</xdr:row>
      <xdr:rowOff>9525</xdr:rowOff>
    </xdr:from>
    <xdr:to>
      <xdr:col>1</xdr:col>
      <xdr:colOff>438150</xdr:colOff>
      <xdr:row>6</xdr:row>
      <xdr:rowOff>304800</xdr:rowOff>
    </xdr:to>
    <xdr:pic>
      <xdr:nvPicPr>
        <xdr:cNvPr id="1078208" name="Obraz 15" descr="http://a.wpimg.pl/a/i/stg/550/wpw.png">
          <a:extLst>
            <a:ext uri="{FF2B5EF4-FFF2-40B4-BE49-F238E27FC236}">
              <a16:creationId xmlns="" xmlns:a16="http://schemas.microsoft.com/office/drawing/2014/main" id="{00000000-0008-0000-0000-0000C0731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981075"/>
          <a:ext cx="4286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xdr:row>
      <xdr:rowOff>9525</xdr:rowOff>
    </xdr:from>
    <xdr:to>
      <xdr:col>4</xdr:col>
      <xdr:colOff>0</xdr:colOff>
      <xdr:row>7</xdr:row>
      <xdr:rowOff>295275</xdr:rowOff>
    </xdr:to>
    <xdr:sp macro="" textlink="">
      <xdr:nvSpPr>
        <xdr:cNvPr id="1039372" name="Drop Down 12" hidden="1">
          <a:extLst>
            <a:ext uri="{63B3BB69-23CF-44E3-9099-C40C66FF867C}">
              <a14:compatExt xmlns:a14="http://schemas.microsoft.com/office/drawing/2010/main" spid="_x0000_s1039372"/>
            </a:ext>
            <a:ext uri="{FF2B5EF4-FFF2-40B4-BE49-F238E27FC236}">
              <a16:creationId xmlns="" xmlns:a16="http://schemas.microsoft.com/office/drawing/2014/main" id="{00000000-0008-0000-0000-00000CDC0F00}"/>
            </a:ext>
          </a:extLst>
        </xdr:cNvPr>
        <xdr:cNvSpPr/>
      </xdr:nvSpPr>
      <xdr:spPr>
        <a:xfrm>
          <a:off x="0" y="0"/>
          <a:ext cx="0" cy="0"/>
        </a:xfrm>
        <a:prstGeom prst="rect">
          <a:avLst/>
        </a:prstGeom>
      </xdr:spPr>
    </xdr:sp>
    <xdr:clientData/>
  </xdr:twoCellAnchor>
  <xdr:twoCellAnchor editAs="oneCell">
    <xdr:from>
      <xdr:col>1</xdr:col>
      <xdr:colOff>0</xdr:colOff>
      <xdr:row>7</xdr:row>
      <xdr:rowOff>66675</xdr:rowOff>
    </xdr:from>
    <xdr:to>
      <xdr:col>1</xdr:col>
      <xdr:colOff>266700</xdr:colOff>
      <xdr:row>7</xdr:row>
      <xdr:rowOff>228600</xdr:rowOff>
    </xdr:to>
    <xdr:pic>
      <xdr:nvPicPr>
        <xdr:cNvPr id="1078209" name="Obraz 7" descr="Znalezione obrazy dla zapytania flaga pl wikipedia">
          <a:extLst>
            <a:ext uri="{FF2B5EF4-FFF2-40B4-BE49-F238E27FC236}">
              <a16:creationId xmlns="" xmlns:a16="http://schemas.microsoft.com/office/drawing/2014/main" id="{00000000-0008-0000-0000-0000C1731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1495425"/>
          <a:ext cx="2667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285750</xdr:colOff>
      <xdr:row>7</xdr:row>
      <xdr:rowOff>76200</xdr:rowOff>
    </xdr:from>
    <xdr:to>
      <xdr:col>2</xdr:col>
      <xdr:colOff>0</xdr:colOff>
      <xdr:row>7</xdr:row>
      <xdr:rowOff>238125</xdr:rowOff>
    </xdr:to>
    <xdr:pic>
      <xdr:nvPicPr>
        <xdr:cNvPr id="1078210" name="Obraz 8">
          <a:extLst>
            <a:ext uri="{FF2B5EF4-FFF2-40B4-BE49-F238E27FC236}">
              <a16:creationId xmlns="" xmlns:a16="http://schemas.microsoft.com/office/drawing/2014/main" id="{00000000-0008-0000-0000-0000C2731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7225" y="15049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444212</xdr:colOff>
      <xdr:row>5</xdr:row>
      <xdr:rowOff>58486</xdr:rowOff>
    </xdr:to>
    <xdr:pic>
      <xdr:nvPicPr>
        <xdr:cNvPr id="7" name="Picture 2">
          <a:extLst>
            <a:ext uri="{FF2B5EF4-FFF2-40B4-BE49-F238E27FC236}">
              <a16:creationId xmlns=""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a:srcRect/>
        <a:stretch>
          <a:fillRect/>
        </a:stretch>
      </xdr:blipFill>
      <xdr:spPr bwMode="auto">
        <a:xfrm>
          <a:off x="0" y="0"/>
          <a:ext cx="140627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mc:AlternateContent xmlns:mc="http://schemas.openxmlformats.org/markup-compatibility/2006">
    <mc:Choice xmlns:a14="http://schemas.microsoft.com/office/drawing/2010/main" Requires="a14">
      <xdr:twoCellAnchor editAs="oneCell">
        <xdr:from>
          <xdr:col>2</xdr:col>
          <xdr:colOff>19050</xdr:colOff>
          <xdr:row>7</xdr:row>
          <xdr:rowOff>9525</xdr:rowOff>
        </xdr:from>
        <xdr:to>
          <xdr:col>4</xdr:col>
          <xdr:colOff>19050</xdr:colOff>
          <xdr:row>7</xdr:row>
          <xdr:rowOff>295275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2</xdr:col>
      <xdr:colOff>723900</xdr:colOff>
      <xdr:row>7</xdr:row>
      <xdr:rowOff>28575</xdr:rowOff>
    </xdr:from>
    <xdr:to>
      <xdr:col>2</xdr:col>
      <xdr:colOff>1628775</xdr:colOff>
      <xdr:row>9</xdr:row>
      <xdr:rowOff>561975</xdr:rowOff>
    </xdr:to>
    <xdr:pic>
      <xdr:nvPicPr>
        <xdr:cNvPr id="1085460" name="Obraz 4">
          <a:extLst>
            <a:ext uri="{FF2B5EF4-FFF2-40B4-BE49-F238E27FC236}">
              <a16:creationId xmlns="" xmlns:a16="http://schemas.microsoft.com/office/drawing/2014/main" id="{00000000-0008-0000-0900-000014901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3100" y="1362075"/>
          <a:ext cx="904875" cy="914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350520</xdr:colOff>
      <xdr:row>7</xdr:row>
      <xdr:rowOff>41275</xdr:rowOff>
    </xdr:from>
    <xdr:to>
      <xdr:col>2</xdr:col>
      <xdr:colOff>549315</xdr:colOff>
      <xdr:row>9</xdr:row>
      <xdr:rowOff>508130</xdr:rowOff>
    </xdr:to>
    <xdr:pic>
      <xdr:nvPicPr>
        <xdr:cNvPr id="963985" name="Picture 2">
          <a:extLst>
            <a:ext uri="{FF2B5EF4-FFF2-40B4-BE49-F238E27FC236}">
              <a16:creationId xmlns="" xmlns:a16="http://schemas.microsoft.com/office/drawing/2014/main" id="{00000000-0008-0000-0900-000091B50E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42900" y="1381125"/>
          <a:ext cx="1377863" cy="86046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33</xdr:row>
      <xdr:rowOff>142875</xdr:rowOff>
    </xdr:from>
    <xdr:to>
      <xdr:col>2</xdr:col>
      <xdr:colOff>104775</xdr:colOff>
      <xdr:row>36</xdr:row>
      <xdr:rowOff>104775</xdr:rowOff>
    </xdr:to>
    <xdr:pic>
      <xdr:nvPicPr>
        <xdr:cNvPr id="1083540" name="Obraz 14" descr="1.png">
          <a:extLst>
            <a:ext uri="{FF2B5EF4-FFF2-40B4-BE49-F238E27FC236}">
              <a16:creationId xmlns="" xmlns:a16="http://schemas.microsoft.com/office/drawing/2014/main" id="{00000000-0008-0000-0100-000094881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79152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59</xdr:row>
      <xdr:rowOff>9525</xdr:rowOff>
    </xdr:from>
    <xdr:to>
      <xdr:col>2</xdr:col>
      <xdr:colOff>885825</xdr:colOff>
      <xdr:row>61</xdr:row>
      <xdr:rowOff>85725</xdr:rowOff>
    </xdr:to>
    <xdr:pic>
      <xdr:nvPicPr>
        <xdr:cNvPr id="1083541" name="Picture 2" descr="image003">
          <a:extLst>
            <a:ext uri="{FF2B5EF4-FFF2-40B4-BE49-F238E27FC236}">
              <a16:creationId xmlns="" xmlns:a16="http://schemas.microsoft.com/office/drawing/2014/main" id="{00000000-0008-0000-0100-000095881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11020425"/>
          <a:ext cx="13430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xdr:row>
      <xdr:rowOff>0</xdr:rowOff>
    </xdr:from>
    <xdr:to>
      <xdr:col>2</xdr:col>
      <xdr:colOff>428625</xdr:colOff>
      <xdr:row>7</xdr:row>
      <xdr:rowOff>142875</xdr:rowOff>
    </xdr:to>
    <xdr:pic>
      <xdr:nvPicPr>
        <xdr:cNvPr id="1083542" name="Obraz 15" descr="http://a.wpimg.pl/a/i/stg/550/wpw.png">
          <a:extLst>
            <a:ext uri="{FF2B5EF4-FFF2-40B4-BE49-F238E27FC236}">
              <a16:creationId xmlns="" xmlns:a16="http://schemas.microsoft.com/office/drawing/2014/main" id="{00000000-0008-0000-0100-000096881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14350" y="971550"/>
          <a:ext cx="4286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98</xdr:row>
      <xdr:rowOff>0</xdr:rowOff>
    </xdr:from>
    <xdr:to>
      <xdr:col>2</xdr:col>
      <xdr:colOff>104775</xdr:colOff>
      <xdr:row>99</xdr:row>
      <xdr:rowOff>28575</xdr:rowOff>
    </xdr:to>
    <xdr:pic>
      <xdr:nvPicPr>
        <xdr:cNvPr id="1083543" name="Obraz 15" descr="http://a.wpimg.pl/a/i/stg/550/wpw.png">
          <a:extLst>
            <a:ext uri="{FF2B5EF4-FFF2-40B4-BE49-F238E27FC236}">
              <a16:creationId xmlns="" xmlns:a16="http://schemas.microsoft.com/office/drawing/2014/main" id="{00000000-0008-0000-0100-000097881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17811750"/>
          <a:ext cx="4286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161925</xdr:colOff>
      <xdr:row>69</xdr:row>
      <xdr:rowOff>66675</xdr:rowOff>
    </xdr:from>
    <xdr:to>
      <xdr:col>2</xdr:col>
      <xdr:colOff>676275</xdr:colOff>
      <xdr:row>71</xdr:row>
      <xdr:rowOff>66675</xdr:rowOff>
    </xdr:to>
    <xdr:pic>
      <xdr:nvPicPr>
        <xdr:cNvPr id="1083544" name="Obraz 2">
          <a:extLst>
            <a:ext uri="{FF2B5EF4-FFF2-40B4-BE49-F238E27FC236}">
              <a16:creationId xmlns="" xmlns:a16="http://schemas.microsoft.com/office/drawing/2014/main" id="{00000000-0008-0000-0100-000098881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61925" y="14316075"/>
          <a:ext cx="10287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123825</xdr:colOff>
      <xdr:row>79</xdr:row>
      <xdr:rowOff>76200</xdr:rowOff>
    </xdr:from>
    <xdr:to>
      <xdr:col>3</xdr:col>
      <xdr:colOff>200025</xdr:colOff>
      <xdr:row>81</xdr:row>
      <xdr:rowOff>85725</xdr:rowOff>
    </xdr:to>
    <xdr:pic>
      <xdr:nvPicPr>
        <xdr:cNvPr id="1083545" name="Obraz 2">
          <a:extLst>
            <a:ext uri="{FF2B5EF4-FFF2-40B4-BE49-F238E27FC236}">
              <a16:creationId xmlns="" xmlns:a16="http://schemas.microsoft.com/office/drawing/2014/main" id="{00000000-0008-0000-0100-000099881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3825" y="14487525"/>
          <a:ext cx="18288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891676</xdr:colOff>
      <xdr:row>5</xdr:row>
      <xdr:rowOff>58486</xdr:rowOff>
    </xdr:to>
    <xdr:pic>
      <xdr:nvPicPr>
        <xdr:cNvPr id="17" name="Picture 2">
          <a:extLst>
            <a:ext uri="{FF2B5EF4-FFF2-40B4-BE49-F238E27FC236}">
              <a16:creationId xmlns=""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6"/>
        <a:srcRect/>
        <a:stretch>
          <a:fillRect/>
        </a:stretch>
      </xdr:blipFill>
      <xdr:spPr bwMode="auto">
        <a:xfrm>
          <a:off x="0" y="0"/>
          <a:ext cx="140627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1</xdr:col>
      <xdr:colOff>0</xdr:colOff>
      <xdr:row>89</xdr:row>
      <xdr:rowOff>76200</xdr:rowOff>
    </xdr:from>
    <xdr:to>
      <xdr:col>3</xdr:col>
      <xdr:colOff>257175</xdr:colOff>
      <xdr:row>91</xdr:row>
      <xdr:rowOff>85725</xdr:rowOff>
    </xdr:to>
    <xdr:pic>
      <xdr:nvPicPr>
        <xdr:cNvPr id="1083549" name="Obraz 1">
          <a:extLst>
            <a:ext uri="{FF2B5EF4-FFF2-40B4-BE49-F238E27FC236}">
              <a16:creationId xmlns="" xmlns:a16="http://schemas.microsoft.com/office/drawing/2014/main" id="{00000000-0008-0000-0100-00009D881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90500" y="16268700"/>
          <a:ext cx="18192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142875</xdr:colOff>
      <xdr:row>53</xdr:row>
      <xdr:rowOff>76201</xdr:rowOff>
    </xdr:from>
    <xdr:to>
      <xdr:col>2</xdr:col>
      <xdr:colOff>990600</xdr:colOff>
      <xdr:row>55</xdr:row>
      <xdr:rowOff>70169</xdr:rowOff>
    </xdr:to>
    <xdr:pic>
      <xdr:nvPicPr>
        <xdr:cNvPr id="3" name="Obraz 2"/>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42875" y="11249026"/>
          <a:ext cx="1362075" cy="3178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1025026</xdr:colOff>
      <xdr:row>5</xdr:row>
      <xdr:rowOff>58486</xdr:rowOff>
    </xdr:to>
    <xdr:pic>
      <xdr:nvPicPr>
        <xdr:cNvPr id="3" name="Picture 2">
          <a:extLst>
            <a:ext uri="{FF2B5EF4-FFF2-40B4-BE49-F238E27FC236}">
              <a16:creationId xmlns=""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602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1021901</xdr:colOff>
      <xdr:row>5</xdr:row>
      <xdr:rowOff>58486</xdr:rowOff>
    </xdr:to>
    <xdr:pic>
      <xdr:nvPicPr>
        <xdr:cNvPr id="7" name="Picture 2">
          <a:extLst>
            <a:ext uri="{FF2B5EF4-FFF2-40B4-BE49-F238E27FC236}">
              <a16:creationId xmlns=""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627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1028341</xdr:colOff>
      <xdr:row>5</xdr:row>
      <xdr:rowOff>58486</xdr:rowOff>
    </xdr:to>
    <xdr:pic>
      <xdr:nvPicPr>
        <xdr:cNvPr id="5" name="Picture 2">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627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1028341</xdr:colOff>
      <xdr:row>5</xdr:row>
      <xdr:rowOff>58486</xdr:rowOff>
    </xdr:to>
    <xdr:pic>
      <xdr:nvPicPr>
        <xdr:cNvPr id="6" name="Picture 2">
          <a:extLst>
            <a:ext uri="{FF2B5EF4-FFF2-40B4-BE49-F238E27FC236}">
              <a16:creationId xmlns=""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95250</xdr:colOff>
      <xdr:row>35</xdr:row>
      <xdr:rowOff>9525</xdr:rowOff>
    </xdr:from>
    <xdr:to>
      <xdr:col>1</xdr:col>
      <xdr:colOff>1095375</xdr:colOff>
      <xdr:row>36</xdr:row>
      <xdr:rowOff>0</xdr:rowOff>
    </xdr:to>
    <xdr:pic>
      <xdr:nvPicPr>
        <xdr:cNvPr id="1080150" name="Obraz 5">
          <a:extLst>
            <a:ext uri="{FF2B5EF4-FFF2-40B4-BE49-F238E27FC236}">
              <a16:creationId xmlns="" xmlns:a16="http://schemas.microsoft.com/office/drawing/2014/main" id="{00000000-0008-0000-0600-0000567B1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6000750"/>
          <a:ext cx="10001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1037866</xdr:colOff>
      <xdr:row>5</xdr:row>
      <xdr:rowOff>58486</xdr:rowOff>
    </xdr:to>
    <xdr:pic>
      <xdr:nvPicPr>
        <xdr:cNvPr id="4" name="Picture 2">
          <a:extLst>
            <a:ext uri="{FF2B5EF4-FFF2-40B4-BE49-F238E27FC236}">
              <a16:creationId xmlns=""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1028341</xdr:colOff>
      <xdr:row>5</xdr:row>
      <xdr:rowOff>58486</xdr:rowOff>
    </xdr:to>
    <xdr:pic>
      <xdr:nvPicPr>
        <xdr:cNvPr id="5" name="Picture 2">
          <a:extLst>
            <a:ext uri="{FF2B5EF4-FFF2-40B4-BE49-F238E27FC236}">
              <a16:creationId xmlns=""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1031771</xdr:colOff>
      <xdr:row>5</xdr:row>
      <xdr:rowOff>53809</xdr:rowOff>
    </xdr:to>
    <xdr:pic>
      <xdr:nvPicPr>
        <xdr:cNvPr id="3" name="Picture 2">
          <a:extLst>
            <a:ext uri="{FF2B5EF4-FFF2-40B4-BE49-F238E27FC236}">
              <a16:creationId xmlns=""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9700" cy="863434"/>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wsDr>
</file>

<file path=xl/theme/theme1.xml><?xml version="1.0" encoding="utf-8"?>
<a:theme xmlns:a="http://schemas.openxmlformats.org/drawingml/2006/main" name="Motyw pakietu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hyperlink" Target="http://reklama.wp.pl/kat,1039751,dokumenty.html" TargetMode="External"/><Relationship Id="rId1" Type="http://schemas.openxmlformats.org/officeDocument/2006/relationships/hyperlink" Target="http://reklama.wp.pl/kat,1039751,dokumenty.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pageSetUpPr fitToPage="1"/>
  </sheetPr>
  <dimension ref="A1:Z32"/>
  <sheetViews>
    <sheetView zoomScaleNormal="100" workbookViewId="0">
      <pane ySplit="8" topLeftCell="A9" activePane="bottomLeft" state="frozen"/>
      <selection pane="bottomLeft"/>
    </sheetView>
  </sheetViews>
  <sheetFormatPr defaultColWidth="11.42578125" defaultRowHeight="12.75"/>
  <cols>
    <col min="1" max="1" width="5.5703125" style="133" customWidth="1"/>
    <col min="2" max="2" width="8.85546875" style="133" customWidth="1"/>
    <col min="3" max="4" width="30.85546875" style="133" customWidth="1"/>
    <col min="5" max="8" width="20" style="133" customWidth="1"/>
    <col min="9" max="9" width="17.85546875" style="133" customWidth="1"/>
    <col min="10" max="10" width="8.85546875" style="133" customWidth="1"/>
    <col min="11" max="11" width="38.42578125" style="133" customWidth="1"/>
    <col min="12" max="13" width="9.140625" style="133" customWidth="1"/>
    <col min="14" max="15" width="11.42578125" style="133" customWidth="1"/>
    <col min="16" max="16" width="9.140625" style="133" customWidth="1"/>
    <col min="17" max="16384" width="11.42578125" style="133"/>
  </cols>
  <sheetData>
    <row r="1" spans="1:26" ht="12.75" customHeight="1">
      <c r="A1" s="288"/>
      <c r="B1" s="288"/>
      <c r="C1" s="288"/>
      <c r="D1" s="288"/>
      <c r="E1" s="726" t="str">
        <f>IF($B$30="Polski",CONCATENATE("Cennik Reklamowy Wirtualna Polska Media S.A. - obowiązuje od 1.11.2019 r.",CHAR(10),"W celu zasięgnięcia dodatkowych informacji prosimy o kontakt z Biurem Reklamy,",CHAR(10),"reklama@grupawp.pl, tel. (+48) 22 57 63 900; fax (+48) 22 57 63 959"),CONCATENATE("Advertising price list of Wirtualna Polska Media S.A. - valid from November 1, 2019",CHAR(10),"For further information please contact the Advertising Office of WP,",CHAR(10),"reklama@grupawp.pl, phone (+48) 22 57 63 900; fax (+48) 22 57 63 959"))</f>
        <v>Cennik Reklamowy Wirtualna Polska Media S.A. - obowiązuje od 1.11.2019 r.
W celu zasięgnięcia dodatkowych informacji prosimy o kontakt z Biurem Reklamy,
reklama@grupawp.pl, tel. (+48) 22 57 63 900; fax (+48) 22 57 63 959</v>
      </c>
      <c r="F1" s="726"/>
      <c r="G1" s="726"/>
      <c r="H1" s="726"/>
      <c r="I1" s="18"/>
      <c r="J1" s="288"/>
      <c r="K1" s="726"/>
      <c r="L1" s="726"/>
      <c r="M1" s="726"/>
      <c r="N1" s="726"/>
      <c r="O1" s="726"/>
      <c r="P1" s="726"/>
      <c r="Q1" s="288"/>
      <c r="R1" s="288"/>
      <c r="S1" s="288"/>
      <c r="T1" s="288"/>
      <c r="U1" s="288"/>
      <c r="V1" s="288"/>
      <c r="W1" s="288"/>
      <c r="X1" s="288"/>
      <c r="Y1" s="288"/>
      <c r="Z1" s="288"/>
    </row>
    <row r="2" spans="1:26" ht="12.75" customHeight="1">
      <c r="A2" s="288"/>
      <c r="B2" s="288"/>
      <c r="C2" s="188"/>
      <c r="D2" s="18"/>
      <c r="E2" s="726"/>
      <c r="F2" s="726"/>
      <c r="G2" s="726"/>
      <c r="H2" s="726"/>
      <c r="I2" s="18"/>
      <c r="J2" s="290"/>
      <c r="K2" s="726"/>
      <c r="L2" s="726"/>
      <c r="M2" s="726"/>
      <c r="N2" s="726"/>
      <c r="O2" s="726"/>
      <c r="P2" s="726"/>
      <c r="Q2" s="288"/>
      <c r="R2" s="288"/>
      <c r="S2" s="288"/>
      <c r="T2" s="288"/>
      <c r="U2" s="288"/>
      <c r="V2" s="288"/>
      <c r="W2" s="288"/>
      <c r="X2" s="288"/>
      <c r="Y2" s="288"/>
      <c r="Z2" s="288"/>
    </row>
    <row r="3" spans="1:26">
      <c r="A3" s="288"/>
      <c r="B3" s="288"/>
      <c r="C3" s="288"/>
      <c r="D3" s="18"/>
      <c r="E3" s="726"/>
      <c r="F3" s="726"/>
      <c r="G3" s="726"/>
      <c r="H3" s="726"/>
      <c r="I3" s="18"/>
      <c r="J3" s="290"/>
      <c r="K3" s="726"/>
      <c r="L3" s="726"/>
      <c r="M3" s="726"/>
      <c r="N3" s="726"/>
      <c r="O3" s="726"/>
      <c r="P3" s="726"/>
      <c r="Q3" s="288"/>
      <c r="R3" s="288"/>
      <c r="S3" s="288"/>
      <c r="T3" s="288"/>
      <c r="U3" s="288"/>
      <c r="V3" s="288"/>
      <c r="W3" s="288"/>
      <c r="X3" s="288"/>
      <c r="Y3" s="288"/>
      <c r="Z3" s="288"/>
    </row>
    <row r="4" spans="1:26" s="34" customFormat="1" ht="12.75" customHeight="1">
      <c r="A4" s="291"/>
      <c r="B4" s="35" t="s">
        <v>0</v>
      </c>
      <c r="C4" s="291"/>
      <c r="D4" s="291"/>
      <c r="E4" s="291"/>
      <c r="F4" s="291"/>
      <c r="G4" s="291"/>
      <c r="H4" s="515" t="str">
        <f>IF('Język - Language'!$B$30="Polski","PL","EN")</f>
        <v>PL</v>
      </c>
      <c r="I4" s="291"/>
      <c r="J4" s="291"/>
      <c r="K4" s="291"/>
      <c r="L4" s="291"/>
      <c r="M4" s="291"/>
      <c r="N4" s="291"/>
      <c r="O4" s="291"/>
      <c r="P4" s="291"/>
      <c r="Q4" s="291"/>
      <c r="R4" s="291"/>
      <c r="S4" s="291"/>
      <c r="T4" s="291"/>
      <c r="U4" s="291"/>
      <c r="V4" s="291"/>
      <c r="W4" s="291"/>
      <c r="X4" s="291"/>
      <c r="Y4" s="291"/>
      <c r="Z4" s="291"/>
    </row>
    <row r="5" spans="1:26" s="115" customFormat="1" ht="12.75" customHeight="1">
      <c r="A5" s="286"/>
      <c r="B5" s="17"/>
      <c r="C5" s="286"/>
      <c r="D5" s="286"/>
      <c r="E5" s="286"/>
      <c r="F5" s="286"/>
      <c r="G5" s="286"/>
      <c r="H5" s="286"/>
      <c r="I5" s="286"/>
      <c r="J5" s="286"/>
      <c r="K5" s="286"/>
      <c r="L5" s="286"/>
      <c r="M5" s="286"/>
      <c r="N5" s="286"/>
      <c r="O5" s="286"/>
      <c r="P5" s="286"/>
      <c r="Q5" s="286"/>
      <c r="R5" s="286"/>
      <c r="S5" s="286"/>
      <c r="T5" s="286"/>
      <c r="U5" s="286"/>
      <c r="V5" s="286"/>
      <c r="W5" s="286"/>
      <c r="X5" s="286"/>
      <c r="Y5" s="286"/>
      <c r="Z5" s="286"/>
    </row>
    <row r="6" spans="1:26">
      <c r="A6" s="288"/>
      <c r="B6" s="286"/>
      <c r="C6" s="286"/>
      <c r="D6" s="286"/>
      <c r="E6" s="288"/>
      <c r="F6" s="288"/>
      <c r="G6" s="288"/>
      <c r="H6" s="288"/>
      <c r="I6" s="288"/>
      <c r="J6" s="286"/>
      <c r="K6" s="286"/>
      <c r="L6" s="286"/>
      <c r="M6" s="286"/>
      <c r="N6" s="286"/>
      <c r="O6" s="286"/>
      <c r="P6" s="286"/>
      <c r="Q6" s="288"/>
      <c r="R6" s="288"/>
      <c r="S6" s="288"/>
      <c r="T6" s="288"/>
      <c r="U6" s="288"/>
      <c r="V6" s="288"/>
      <c r="W6" s="288"/>
      <c r="X6" s="288"/>
      <c r="Y6" s="288"/>
      <c r="Z6" s="288"/>
    </row>
    <row r="7" spans="1:26" ht="36.200000000000003" customHeight="1">
      <c r="A7" s="286"/>
      <c r="B7" s="66"/>
      <c r="C7" s="129" t="s">
        <v>1</v>
      </c>
      <c r="D7" s="128" t="s">
        <v>2</v>
      </c>
      <c r="E7" s="98"/>
      <c r="F7" s="727"/>
      <c r="G7" s="727"/>
      <c r="H7" s="727"/>
      <c r="I7" s="727"/>
      <c r="J7" s="288"/>
      <c r="K7" s="718"/>
      <c r="L7" s="718"/>
      <c r="M7" s="718"/>
      <c r="N7" s="718"/>
      <c r="O7" s="718"/>
      <c r="P7" s="718"/>
      <c r="Q7" s="288"/>
      <c r="R7" s="288"/>
      <c r="S7" s="288"/>
      <c r="T7" s="288"/>
      <c r="U7" s="288"/>
      <c r="V7" s="288"/>
      <c r="W7" s="288"/>
      <c r="X7" s="288"/>
      <c r="Y7" s="288"/>
      <c r="Z7" s="144" t="s">
        <v>3</v>
      </c>
    </row>
    <row r="8" spans="1:26" ht="25.5" customHeight="1">
      <c r="A8" s="288"/>
      <c r="B8" s="130"/>
      <c r="C8" s="719" t="str">
        <f>INDEX(Z7:Z8,A30)</f>
        <v>Polski</v>
      </c>
      <c r="D8" s="719"/>
      <c r="E8" s="352"/>
      <c r="F8" s="728"/>
      <c r="G8" s="728"/>
      <c r="H8" s="728"/>
      <c r="I8" s="728"/>
      <c r="J8" s="286"/>
      <c r="K8" s="312"/>
      <c r="L8" s="720"/>
      <c r="M8" s="720"/>
      <c r="N8" s="720"/>
      <c r="O8" s="720"/>
      <c r="P8" s="720"/>
      <c r="Q8" s="288"/>
      <c r="R8" s="288"/>
      <c r="S8" s="288"/>
      <c r="T8" s="288"/>
      <c r="U8" s="288"/>
      <c r="V8" s="288"/>
      <c r="W8" s="288"/>
      <c r="X8" s="288"/>
      <c r="Y8" s="288"/>
      <c r="Z8" s="144" t="s">
        <v>4</v>
      </c>
    </row>
    <row r="9" spans="1:26" ht="25.35" customHeight="1">
      <c r="A9" s="288"/>
      <c r="B9" s="130"/>
      <c r="C9" s="721"/>
      <c r="D9" s="717"/>
      <c r="E9" s="311"/>
      <c r="F9" s="61"/>
      <c r="G9" s="62"/>
      <c r="H9" s="63"/>
      <c r="I9" s="63"/>
      <c r="J9" s="286"/>
      <c r="K9" s="83"/>
      <c r="L9" s="722"/>
      <c r="M9" s="722"/>
      <c r="N9" s="722"/>
      <c r="O9" s="722"/>
      <c r="P9" s="722"/>
      <c r="Q9" s="288"/>
      <c r="R9" s="288"/>
      <c r="S9" s="288"/>
      <c r="T9" s="288"/>
      <c r="U9" s="288"/>
      <c r="V9" s="288"/>
      <c r="W9" s="288"/>
      <c r="X9" s="288"/>
      <c r="Y9" s="288"/>
      <c r="Z9" s="288"/>
    </row>
    <row r="10" spans="1:26" ht="12.75" customHeight="1">
      <c r="A10" s="288"/>
      <c r="B10" s="130"/>
      <c r="C10" s="313"/>
      <c r="D10" s="311"/>
      <c r="E10" s="311"/>
      <c r="F10" s="61"/>
      <c r="G10" s="62"/>
      <c r="H10" s="63"/>
      <c r="I10" s="63"/>
      <c r="J10" s="286"/>
      <c r="K10" s="83"/>
      <c r="L10" s="314"/>
      <c r="M10" s="314"/>
      <c r="N10" s="314"/>
      <c r="O10" s="314"/>
      <c r="P10" s="314"/>
      <c r="Q10" s="288"/>
      <c r="R10" s="288"/>
      <c r="S10" s="288"/>
      <c r="T10" s="288"/>
      <c r="U10" s="288"/>
      <c r="V10" s="288"/>
      <c r="W10" s="288"/>
      <c r="X10" s="288"/>
      <c r="Y10" s="288"/>
      <c r="Z10" s="288"/>
    </row>
    <row r="11" spans="1:26">
      <c r="A11" s="288"/>
      <c r="B11" s="723"/>
      <c r="C11" s="724"/>
      <c r="D11" s="724"/>
      <c r="E11" s="724"/>
      <c r="F11" s="724"/>
      <c r="G11" s="724"/>
      <c r="H11" s="724"/>
      <c r="I11" s="63"/>
      <c r="J11" s="286"/>
      <c r="K11" s="83"/>
      <c r="L11" s="722"/>
      <c r="M11" s="722"/>
      <c r="N11" s="722"/>
      <c r="O11" s="722"/>
      <c r="P11" s="722"/>
      <c r="Q11" s="288"/>
      <c r="R11" s="288"/>
      <c r="S11" s="288"/>
      <c r="T11" s="288"/>
      <c r="U11" s="288"/>
      <c r="V11" s="288"/>
      <c r="W11" s="288"/>
      <c r="X11" s="288"/>
      <c r="Y11" s="288"/>
      <c r="Z11" s="288"/>
    </row>
    <row r="12" spans="1:26" ht="12.75" customHeight="1">
      <c r="A12" s="288"/>
      <c r="B12" s="724"/>
      <c r="C12" s="724"/>
      <c r="D12" s="724"/>
      <c r="E12" s="724"/>
      <c r="F12" s="724"/>
      <c r="G12" s="724"/>
      <c r="H12" s="724"/>
      <c r="I12" s="63"/>
      <c r="J12" s="286"/>
      <c r="K12" s="84"/>
      <c r="L12" s="725"/>
      <c r="M12" s="725"/>
      <c r="N12" s="725"/>
      <c r="O12" s="725"/>
      <c r="P12" s="725"/>
      <c r="Q12" s="288"/>
      <c r="R12" s="288"/>
      <c r="S12" s="288"/>
      <c r="T12" s="288"/>
      <c r="U12" s="288"/>
      <c r="V12" s="288"/>
      <c r="W12" s="288"/>
      <c r="X12" s="288"/>
      <c r="Y12" s="288"/>
      <c r="Z12" s="288"/>
    </row>
    <row r="13" spans="1:26" ht="12.75" customHeight="1">
      <c r="A13" s="288"/>
      <c r="B13" s="315"/>
      <c r="C13" s="315"/>
      <c r="D13" s="315"/>
      <c r="E13" s="315"/>
      <c r="F13" s="315"/>
      <c r="G13" s="315"/>
      <c r="H13" s="315"/>
      <c r="I13" s="63"/>
      <c r="J13" s="286"/>
      <c r="K13" s="84"/>
      <c r="L13" s="316"/>
      <c r="M13" s="316"/>
      <c r="N13" s="316"/>
      <c r="O13" s="316"/>
      <c r="P13" s="316"/>
      <c r="Q13" s="288"/>
      <c r="R13" s="288"/>
      <c r="S13" s="288"/>
      <c r="T13" s="288"/>
      <c r="U13" s="288"/>
      <c r="V13" s="288"/>
      <c r="W13" s="288"/>
      <c r="X13" s="288"/>
      <c r="Y13" s="288"/>
      <c r="Z13" s="288"/>
    </row>
    <row r="14" spans="1:26" ht="12.75" customHeight="1">
      <c r="A14" s="286"/>
      <c r="B14" s="189"/>
      <c r="C14" s="189"/>
      <c r="D14" s="189"/>
      <c r="E14" s="82"/>
      <c r="F14" s="43"/>
      <c r="G14" s="44"/>
      <c r="H14" s="45"/>
      <c r="I14" s="45"/>
      <c r="J14" s="286"/>
      <c r="K14" s="84"/>
      <c r="L14" s="316"/>
      <c r="M14" s="316"/>
      <c r="N14" s="316"/>
      <c r="O14" s="316"/>
      <c r="P14" s="316"/>
      <c r="Q14" s="288"/>
      <c r="R14" s="288"/>
      <c r="S14" s="288"/>
      <c r="T14" s="288"/>
      <c r="U14" s="288"/>
      <c r="V14" s="288"/>
      <c r="W14" s="288"/>
      <c r="X14" s="288"/>
      <c r="Y14" s="288"/>
      <c r="Z14" s="288"/>
    </row>
    <row r="15" spans="1:26">
      <c r="A15" s="286"/>
      <c r="B15" s="310"/>
      <c r="C15" s="310"/>
      <c r="D15" s="354"/>
      <c r="E15" s="310"/>
      <c r="F15" s="713"/>
      <c r="G15" s="310"/>
      <c r="H15" s="310"/>
      <c r="I15" s="41"/>
      <c r="J15" s="286"/>
      <c r="K15" s="83"/>
      <c r="L15" s="725"/>
      <c r="M15" s="725"/>
      <c r="N15" s="725"/>
      <c r="O15" s="725"/>
      <c r="P15" s="725"/>
      <c r="Q15" s="288"/>
      <c r="R15" s="288"/>
      <c r="S15" s="288"/>
      <c r="T15" s="288"/>
      <c r="U15" s="288"/>
      <c r="V15" s="288"/>
      <c r="W15" s="288"/>
      <c r="X15" s="288"/>
      <c r="Y15" s="288"/>
      <c r="Z15" s="288"/>
    </row>
    <row r="16" spans="1:26" ht="15">
      <c r="A16" s="286"/>
      <c r="B16" s="130"/>
      <c r="C16" s="134"/>
      <c r="D16" s="135"/>
      <c r="E16" s="136"/>
      <c r="F16" s="713"/>
      <c r="G16" s="137"/>
      <c r="H16" s="138"/>
      <c r="I16" s="138"/>
      <c r="J16" s="288"/>
      <c r="K16" s="85"/>
      <c r="L16" s="725"/>
      <c r="M16" s="725"/>
      <c r="N16" s="725"/>
      <c r="O16" s="725"/>
      <c r="P16" s="725"/>
      <c r="Q16" s="288"/>
      <c r="R16" s="288"/>
      <c r="S16" s="288"/>
      <c r="T16" s="288"/>
      <c r="U16" s="288"/>
      <c r="V16" s="288"/>
      <c r="W16" s="288"/>
      <c r="X16" s="288"/>
      <c r="Y16" s="288"/>
      <c r="Z16" s="288"/>
    </row>
    <row r="17" spans="1:16" ht="15">
      <c r="A17" s="286"/>
      <c r="B17" s="717"/>
      <c r="C17" s="717"/>
      <c r="D17" s="717"/>
      <c r="E17" s="717"/>
      <c r="F17" s="717"/>
      <c r="G17" s="717"/>
      <c r="H17" s="717"/>
      <c r="I17" s="139"/>
      <c r="J17" s="288"/>
      <c r="K17" s="312"/>
      <c r="L17" s="718"/>
      <c r="M17" s="718"/>
      <c r="N17" s="718"/>
      <c r="O17" s="718"/>
      <c r="P17" s="718"/>
    </row>
    <row r="18" spans="1:16">
      <c r="A18" s="288"/>
      <c r="B18" s="60"/>
      <c r="C18" s="60"/>
      <c r="D18" s="60"/>
      <c r="E18" s="60"/>
      <c r="F18" s="60"/>
      <c r="G18" s="60"/>
      <c r="H18" s="286"/>
      <c r="I18" s="286"/>
      <c r="J18" s="288"/>
      <c r="K18" s="286"/>
      <c r="L18" s="286"/>
      <c r="M18" s="286"/>
      <c r="N18" s="286"/>
      <c r="O18" s="286"/>
      <c r="P18" s="286"/>
    </row>
    <row r="19" spans="1:16" ht="25.5" customHeight="1">
      <c r="A19" s="288"/>
      <c r="B19" s="713"/>
      <c r="C19" s="310"/>
      <c r="D19" s="310"/>
      <c r="E19" s="310"/>
      <c r="F19" s="310"/>
      <c r="G19" s="310"/>
      <c r="H19" s="286"/>
      <c r="I19" s="286"/>
      <c r="J19" s="286"/>
      <c r="K19" s="132"/>
      <c r="L19" s="714"/>
      <c r="M19" s="714"/>
      <c r="N19" s="714"/>
      <c r="O19" s="714"/>
      <c r="P19" s="714"/>
    </row>
    <row r="20" spans="1:16" ht="25.5" customHeight="1">
      <c r="A20" s="288"/>
      <c r="B20" s="713"/>
      <c r="C20" s="140"/>
      <c r="D20" s="141"/>
      <c r="E20" s="140"/>
      <c r="F20" s="142"/>
      <c r="G20" s="143"/>
      <c r="H20" s="286"/>
      <c r="I20" s="286"/>
      <c r="J20" s="286"/>
      <c r="K20" s="130"/>
      <c r="L20" s="715"/>
      <c r="M20" s="715"/>
      <c r="N20" s="715"/>
      <c r="O20" s="715"/>
      <c r="P20" s="715"/>
    </row>
    <row r="21" spans="1:16" ht="25.5" customHeight="1">
      <c r="A21" s="288"/>
      <c r="B21" s="713"/>
      <c r="C21" s="140"/>
      <c r="D21" s="141"/>
      <c r="E21" s="140"/>
      <c r="F21" s="142"/>
      <c r="G21" s="143"/>
      <c r="H21" s="286"/>
      <c r="I21" s="286"/>
      <c r="J21" s="286"/>
      <c r="K21" s="130"/>
      <c r="L21" s="716"/>
      <c r="M21" s="716"/>
      <c r="N21" s="716"/>
      <c r="O21" s="716"/>
      <c r="P21" s="716"/>
    </row>
    <row r="22" spans="1:16" ht="25.5" customHeight="1">
      <c r="A22" s="288"/>
      <c r="B22" s="713"/>
      <c r="C22" s="140"/>
      <c r="D22" s="141"/>
      <c r="E22" s="140"/>
      <c r="F22" s="142"/>
      <c r="G22" s="143"/>
      <c r="H22" s="286"/>
      <c r="I22" s="286"/>
      <c r="J22" s="286"/>
      <c r="K22" s="130"/>
      <c r="L22" s="712"/>
      <c r="M22" s="712"/>
      <c r="N22" s="712"/>
      <c r="O22" s="712"/>
      <c r="P22" s="712"/>
    </row>
    <row r="23" spans="1:16" ht="25.5" customHeight="1">
      <c r="A23" s="288"/>
      <c r="B23" s="713"/>
      <c r="C23" s="140"/>
      <c r="D23" s="141"/>
      <c r="E23" s="140"/>
      <c r="F23" s="142"/>
      <c r="G23" s="143"/>
      <c r="H23" s="286"/>
      <c r="I23" s="286"/>
      <c r="J23" s="286"/>
      <c r="K23" s="130"/>
      <c r="L23" s="712"/>
      <c r="M23" s="712"/>
      <c r="N23" s="712"/>
      <c r="O23" s="712"/>
      <c r="P23" s="712"/>
    </row>
    <row r="24" spans="1:16" ht="25.5" customHeight="1">
      <c r="A24" s="288"/>
      <c r="B24" s="713"/>
      <c r="C24" s="140"/>
      <c r="D24" s="141"/>
      <c r="E24" s="140"/>
      <c r="F24" s="142"/>
      <c r="G24" s="143"/>
      <c r="H24" s="286"/>
      <c r="I24" s="286"/>
      <c r="J24" s="286"/>
      <c r="K24" s="130"/>
      <c r="L24" s="712"/>
      <c r="M24" s="712"/>
      <c r="N24" s="712"/>
      <c r="O24" s="712"/>
      <c r="P24" s="712"/>
    </row>
    <row r="25" spans="1:16" ht="25.5" customHeight="1">
      <c r="A25" s="288"/>
      <c r="B25" s="713"/>
      <c r="C25" s="140"/>
      <c r="D25" s="141"/>
      <c r="E25" s="140"/>
      <c r="F25" s="143"/>
      <c r="G25" s="143"/>
      <c r="H25" s="286"/>
      <c r="I25" s="286"/>
      <c r="J25" s="286"/>
      <c r="K25" s="130"/>
      <c r="L25" s="712"/>
      <c r="M25" s="712"/>
      <c r="N25" s="712"/>
      <c r="O25" s="712"/>
      <c r="P25" s="712"/>
    </row>
    <row r="26" spans="1:16" ht="25.5" customHeight="1">
      <c r="A26" s="288"/>
      <c r="B26" s="59"/>
      <c r="C26" s="286"/>
      <c r="D26" s="286"/>
      <c r="E26" s="286"/>
      <c r="F26" s="286"/>
      <c r="G26" s="286"/>
      <c r="H26" s="286"/>
      <c r="I26" s="286"/>
      <c r="J26" s="286"/>
      <c r="K26" s="130"/>
      <c r="L26" s="712"/>
      <c r="M26" s="712"/>
      <c r="N26" s="712"/>
      <c r="O26" s="712"/>
      <c r="P26" s="712"/>
    </row>
    <row r="27" spans="1:16" ht="25.5" customHeight="1">
      <c r="A27" s="288"/>
      <c r="B27" s="80"/>
      <c r="C27" s="39"/>
      <c r="D27" s="39"/>
      <c r="E27" s="39"/>
      <c r="F27" s="39"/>
      <c r="G27" s="39"/>
      <c r="H27" s="286"/>
      <c r="I27" s="286"/>
      <c r="J27" s="286"/>
      <c r="K27" s="130"/>
      <c r="L27" s="712"/>
      <c r="M27" s="712"/>
      <c r="N27" s="712"/>
      <c r="O27" s="712"/>
      <c r="P27" s="712"/>
    </row>
    <row r="28" spans="1:16" ht="25.5" customHeight="1">
      <c r="A28" s="288"/>
      <c r="B28" s="288"/>
      <c r="C28" s="288"/>
      <c r="D28" s="288"/>
      <c r="E28" s="288"/>
      <c r="F28" s="288"/>
      <c r="G28" s="288"/>
      <c r="H28" s="288"/>
      <c r="I28" s="288"/>
      <c r="J28" s="286"/>
      <c r="K28" s="131"/>
      <c r="L28" s="712"/>
      <c r="M28" s="712"/>
      <c r="N28" s="712"/>
      <c r="O28" s="712"/>
      <c r="P28" s="712"/>
    </row>
    <row r="29" spans="1:16" ht="25.5" customHeight="1">
      <c r="A29" s="288"/>
      <c r="B29" s="288"/>
      <c r="C29" s="288"/>
      <c r="D29" s="288"/>
      <c r="E29" s="288"/>
      <c r="F29" s="288"/>
      <c r="G29" s="288"/>
      <c r="H29" s="288"/>
      <c r="I29" s="288"/>
      <c r="J29" s="286"/>
      <c r="K29" s="131"/>
      <c r="L29" s="712"/>
      <c r="M29" s="712"/>
      <c r="N29" s="712"/>
      <c r="O29" s="712"/>
      <c r="P29" s="712"/>
    </row>
    <row r="30" spans="1:16" ht="25.5" customHeight="1">
      <c r="A30" s="144">
        <v>1</v>
      </c>
      <c r="B30" s="144" t="str">
        <f>INDEX(Z7:Z8,A30)</f>
        <v>Polski</v>
      </c>
      <c r="C30" s="288"/>
      <c r="D30" s="288"/>
      <c r="E30" s="288"/>
      <c r="F30" s="288"/>
      <c r="G30" s="288"/>
      <c r="H30" s="288"/>
      <c r="I30" s="288"/>
      <c r="J30" s="286"/>
      <c r="K30" s="80"/>
      <c r="L30" s="80"/>
      <c r="M30" s="286"/>
      <c r="N30" s="286"/>
      <c r="O30" s="286"/>
      <c r="P30" s="286"/>
    </row>
    <row r="31" spans="1:16" ht="26.25" customHeight="1">
      <c r="A31" s="288"/>
      <c r="B31" s="288"/>
      <c r="C31" s="288"/>
      <c r="D31" s="288"/>
      <c r="E31" s="288"/>
      <c r="F31" s="288"/>
      <c r="G31" s="288"/>
      <c r="H31" s="288"/>
      <c r="I31" s="288"/>
      <c r="J31" s="286"/>
      <c r="K31" s="286"/>
      <c r="L31" s="286"/>
      <c r="M31" s="286"/>
      <c r="N31" s="286"/>
      <c r="O31" s="286"/>
      <c r="P31" s="286"/>
    </row>
    <row r="32" spans="1:16">
      <c r="A32" s="288"/>
      <c r="B32" s="288"/>
      <c r="C32" s="288"/>
      <c r="D32" s="288"/>
      <c r="E32" s="288"/>
      <c r="F32" s="288"/>
      <c r="G32" s="288"/>
      <c r="H32" s="288"/>
      <c r="I32" s="288"/>
      <c r="J32" s="286"/>
      <c r="K32" s="286"/>
      <c r="L32" s="286"/>
      <c r="M32" s="286"/>
      <c r="N32" s="286"/>
      <c r="O32" s="286"/>
      <c r="P32" s="286"/>
    </row>
  </sheetData>
  <mergeCells count="32">
    <mergeCell ref="E1:H3"/>
    <mergeCell ref="K1:P3"/>
    <mergeCell ref="F7:F8"/>
    <mergeCell ref="G7:G8"/>
    <mergeCell ref="H7:H8"/>
    <mergeCell ref="I7:I8"/>
    <mergeCell ref="K7:P7"/>
    <mergeCell ref="B17:H17"/>
    <mergeCell ref="L17:P17"/>
    <mergeCell ref="C8:D8"/>
    <mergeCell ref="L8:P8"/>
    <mergeCell ref="C9:D9"/>
    <mergeCell ref="L9:P9"/>
    <mergeCell ref="B11:H11"/>
    <mergeCell ref="L11:P11"/>
    <mergeCell ref="B12:H12"/>
    <mergeCell ref="L12:P12"/>
    <mergeCell ref="F15:F16"/>
    <mergeCell ref="L15:P15"/>
    <mergeCell ref="L16:P16"/>
    <mergeCell ref="L26:P26"/>
    <mergeCell ref="L27:P27"/>
    <mergeCell ref="L28:P28"/>
    <mergeCell ref="L29:P29"/>
    <mergeCell ref="B19:B25"/>
    <mergeCell ref="L19:P19"/>
    <mergeCell ref="L20:P20"/>
    <mergeCell ref="L21:P21"/>
    <mergeCell ref="L22:P22"/>
    <mergeCell ref="L23:P23"/>
    <mergeCell ref="L24:P24"/>
    <mergeCell ref="L25:P25"/>
  </mergeCells>
  <pageMargins left="0.7" right="0.7" top="0.75" bottom="0.75" header="0.3" footer="0.3"/>
  <pageSetup paperSize="256" scale="63"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2</xdr:col>
                    <xdr:colOff>19050</xdr:colOff>
                    <xdr:row>7</xdr:row>
                    <xdr:rowOff>9525</xdr:rowOff>
                  </from>
                  <to>
                    <xdr:col>4</xdr:col>
                    <xdr:colOff>19050</xdr:colOff>
                    <xdr:row>7</xdr:row>
                    <xdr:rowOff>295275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tabColor rgb="FFFF0000"/>
  </sheetPr>
  <dimension ref="A1:AY393"/>
  <sheetViews>
    <sheetView zoomScaleNormal="100" workbookViewId="0"/>
  </sheetViews>
  <sheetFormatPr defaultRowHeight="15"/>
  <cols>
    <col min="3" max="3" width="30.85546875" customWidth="1"/>
    <col min="6" max="6" width="15.5703125" customWidth="1"/>
    <col min="7" max="7" width="9.140625" customWidth="1"/>
    <col min="8" max="8" width="4.85546875" customWidth="1"/>
    <col min="9" max="9" width="4" hidden="1" customWidth="1"/>
    <col min="13" max="13" width="37.42578125" customWidth="1"/>
    <col min="16" max="16" width="18.85546875" customWidth="1"/>
    <col min="17" max="51" width="9.140625" style="13" customWidth="1"/>
  </cols>
  <sheetData>
    <row r="1" spans="1:18" s="13" customFormat="1">
      <c r="A1" s="289"/>
      <c r="B1" s="289"/>
      <c r="C1" s="289"/>
      <c r="D1" s="289"/>
      <c r="E1" s="289"/>
      <c r="F1" s="289"/>
      <c r="G1" s="289"/>
      <c r="H1" s="289"/>
      <c r="I1" s="289"/>
      <c r="J1" s="289"/>
      <c r="K1" s="289"/>
      <c r="L1" s="289"/>
      <c r="M1" s="289"/>
      <c r="N1" s="289"/>
      <c r="O1" s="289"/>
      <c r="P1" s="289"/>
      <c r="Q1" s="289"/>
      <c r="R1" s="289"/>
    </row>
    <row r="2" spans="1:18" ht="15" customHeight="1">
      <c r="A2" s="12"/>
      <c r="B2" s="12"/>
      <c r="C2" s="12"/>
      <c r="D2" s="12"/>
      <c r="E2" s="12"/>
      <c r="F2" s="12"/>
      <c r="G2" s="12"/>
      <c r="H2" s="12"/>
      <c r="I2" s="12"/>
      <c r="J2" s="1155"/>
      <c r="K2" s="1155"/>
      <c r="L2" s="1155"/>
      <c r="M2" s="1155"/>
      <c r="N2" s="88"/>
      <c r="O2" s="88"/>
      <c r="P2" s="88"/>
      <c r="Q2" s="88"/>
      <c r="R2" s="88"/>
    </row>
    <row r="3" spans="1:18" ht="15" customHeight="1">
      <c r="A3" s="12"/>
      <c r="B3" s="12"/>
      <c r="C3" s="12"/>
      <c r="D3" s="12"/>
      <c r="E3" s="12"/>
      <c r="F3" s="12"/>
      <c r="G3" s="12"/>
      <c r="H3" s="12"/>
      <c r="I3" s="12"/>
      <c r="J3" s="1155"/>
      <c r="K3" s="1155"/>
      <c r="L3" s="1155"/>
      <c r="M3" s="1155"/>
      <c r="N3" s="88"/>
      <c r="O3" s="88"/>
      <c r="P3" s="88"/>
      <c r="Q3" s="88"/>
      <c r="R3" s="88"/>
    </row>
    <row r="4" spans="1:18">
      <c r="A4" s="12"/>
      <c r="B4" s="12"/>
      <c r="C4" s="12"/>
      <c r="D4" s="12"/>
      <c r="E4" s="12"/>
      <c r="F4" s="12"/>
      <c r="G4" s="12"/>
      <c r="H4" s="12"/>
      <c r="I4" s="12"/>
      <c r="J4" s="1155"/>
      <c r="K4" s="1155"/>
      <c r="L4" s="1155"/>
      <c r="M4" s="1155"/>
      <c r="N4" s="88"/>
      <c r="O4" s="88"/>
      <c r="P4" s="88"/>
      <c r="Q4" s="88"/>
      <c r="R4" s="88"/>
    </row>
    <row r="5" spans="1:18">
      <c r="A5" s="12"/>
      <c r="B5" s="12"/>
      <c r="C5" s="12"/>
      <c r="D5" s="12"/>
      <c r="E5" s="12"/>
      <c r="F5" s="12"/>
      <c r="G5" s="12"/>
      <c r="H5" s="12"/>
      <c r="I5" s="12"/>
      <c r="J5" s="88"/>
      <c r="K5" s="88"/>
      <c r="L5" s="88"/>
      <c r="M5" s="88"/>
      <c r="N5" s="88"/>
      <c r="O5" s="88"/>
      <c r="P5" s="88"/>
      <c r="Q5" s="88"/>
      <c r="R5" s="88"/>
    </row>
    <row r="6" spans="1:18">
      <c r="A6" s="12"/>
      <c r="B6" s="12"/>
      <c r="C6" s="12"/>
      <c r="D6" s="12"/>
      <c r="E6" s="12"/>
      <c r="F6" s="12"/>
      <c r="G6" s="12"/>
      <c r="H6" s="12"/>
      <c r="I6" s="12"/>
      <c r="J6" s="12"/>
      <c r="K6" s="12"/>
      <c r="L6" s="12"/>
      <c r="M6" s="12"/>
      <c r="N6" s="12"/>
      <c r="O6" s="12"/>
      <c r="P6" s="12"/>
      <c r="Q6" s="289"/>
      <c r="R6" s="289"/>
    </row>
    <row r="7" spans="1:18">
      <c r="A7" s="12"/>
      <c r="B7" s="12"/>
      <c r="C7" s="12"/>
      <c r="D7" s="12"/>
      <c r="E7" s="12"/>
      <c r="F7" s="12"/>
      <c r="G7" s="12"/>
      <c r="H7" s="12"/>
      <c r="I7" s="12"/>
      <c r="J7" s="12"/>
      <c r="K7" s="12"/>
      <c r="L7" s="12"/>
      <c r="M7" s="12"/>
      <c r="N7" s="12"/>
      <c r="O7" s="12"/>
      <c r="P7" s="12"/>
      <c r="Q7" s="289"/>
      <c r="R7" s="289"/>
    </row>
    <row r="8" spans="1:18">
      <c r="A8" s="12"/>
      <c r="B8" s="12"/>
      <c r="C8" s="12"/>
      <c r="D8" s="1152" t="str">
        <f>IF('Język - Language'!$B$30="Polski","Regulamin sprzedaży reklamy","General rules of advertisement sales")</f>
        <v>Regulamin sprzedaży reklamy</v>
      </c>
      <c r="E8" s="1152"/>
      <c r="F8" s="1152"/>
      <c r="G8" s="1153" t="s">
        <v>86</v>
      </c>
      <c r="H8" s="1154"/>
      <c r="I8" s="1154"/>
      <c r="J8" s="1154"/>
      <c r="K8" s="1154"/>
      <c r="L8" s="1154"/>
      <c r="M8" s="1154"/>
      <c r="N8" s="1154"/>
      <c r="O8" s="1154"/>
      <c r="P8" s="1154"/>
      <c r="Q8" s="289"/>
      <c r="R8" s="289"/>
    </row>
    <row r="9" spans="1:18">
      <c r="A9" s="12"/>
      <c r="B9" s="12"/>
      <c r="C9" s="12"/>
      <c r="D9" s="30"/>
      <c r="E9" s="30"/>
      <c r="F9" s="30"/>
      <c r="G9" s="31"/>
      <c r="H9" s="31"/>
      <c r="I9" s="31"/>
      <c r="J9" s="31"/>
      <c r="K9" s="31"/>
      <c r="L9" s="31"/>
      <c r="M9" s="31"/>
      <c r="N9" s="31"/>
      <c r="O9" s="31"/>
      <c r="P9" s="31"/>
      <c r="Q9" s="289"/>
      <c r="R9" s="289"/>
    </row>
    <row r="10" spans="1:18" ht="57" customHeight="1">
      <c r="A10" s="12"/>
      <c r="B10" s="12"/>
      <c r="C10" s="12"/>
      <c r="D10" s="1158" t="str">
        <f>IF('Język - Language'!$B$30="Polski","Specyfikacja techniczna do pobrania na serwisie Reklama.wp.pl","You can download our technical specification from reklama.wp.pl")</f>
        <v>Specyfikacja techniczna do pobrania na serwisie Reklama.wp.pl</v>
      </c>
      <c r="E10" s="1158"/>
      <c r="F10" s="1158"/>
      <c r="G10" s="1153" t="s">
        <v>86</v>
      </c>
      <c r="H10" s="1154"/>
      <c r="I10" s="1154"/>
      <c r="J10" s="1154"/>
      <c r="K10" s="1154"/>
      <c r="L10" s="1154"/>
      <c r="M10" s="1154"/>
      <c r="N10" s="1154"/>
      <c r="O10" s="1154"/>
      <c r="P10" s="31"/>
      <c r="Q10" s="289"/>
      <c r="R10" s="289"/>
    </row>
    <row r="11" spans="1:18" s="13" customFormat="1" ht="47.25" customHeight="1">
      <c r="A11" s="289"/>
      <c r="B11" s="289"/>
      <c r="C11" s="289"/>
      <c r="D11" s="289"/>
      <c r="E11" s="289"/>
      <c r="F11" s="289"/>
      <c r="G11" s="289"/>
      <c r="H11" s="289"/>
      <c r="I11" s="289"/>
      <c r="J11" s="289"/>
      <c r="K11" s="289"/>
      <c r="L11" s="289"/>
      <c r="M11" s="289"/>
      <c r="N11" s="289"/>
      <c r="O11" s="289"/>
      <c r="P11" s="289"/>
      <c r="Q11" s="289"/>
      <c r="R11" s="289"/>
    </row>
    <row r="12" spans="1:18" s="13" customFormat="1">
      <c r="A12" s="289"/>
      <c r="B12" s="289"/>
      <c r="C12" s="289"/>
      <c r="D12" s="351"/>
      <c r="E12" s="351"/>
      <c r="F12" s="351"/>
      <c r="G12" s="1159"/>
      <c r="H12" s="1159"/>
      <c r="I12" s="1159"/>
      <c r="J12" s="1159"/>
      <c r="K12" s="1159"/>
      <c r="L12" s="1159"/>
      <c r="M12" s="1159"/>
      <c r="N12" s="1159"/>
      <c r="O12" s="1159"/>
      <c r="P12" s="289"/>
      <c r="Q12" s="289"/>
      <c r="R12" s="289"/>
    </row>
    <row r="13" spans="1:18" s="13" customFormat="1">
      <c r="A13" s="289"/>
      <c r="B13" s="289"/>
      <c r="C13" s="289"/>
      <c r="D13" s="14"/>
      <c r="E13" s="14"/>
      <c r="F13" s="14"/>
      <c r="G13" s="289"/>
      <c r="H13" s="289"/>
      <c r="I13" s="289"/>
      <c r="J13" s="289"/>
      <c r="K13" s="289"/>
      <c r="L13" s="289"/>
      <c r="M13" s="289"/>
      <c r="N13" s="289"/>
      <c r="O13" s="289"/>
      <c r="P13" s="289"/>
      <c r="Q13" s="289"/>
      <c r="R13" s="289"/>
    </row>
    <row r="14" spans="1:18" s="13" customFormat="1">
      <c r="A14" s="289"/>
      <c r="B14" s="289"/>
      <c r="C14" s="289"/>
      <c r="D14" s="1160"/>
      <c r="E14" s="1160"/>
      <c r="F14" s="1160"/>
      <c r="G14" s="1159"/>
      <c r="H14" s="1159"/>
      <c r="I14" s="1159"/>
      <c r="J14" s="1159"/>
      <c r="K14" s="1159"/>
      <c r="L14" s="1159"/>
      <c r="M14" s="1159"/>
      <c r="N14" s="1159"/>
      <c r="O14" s="1159"/>
      <c r="P14" s="289"/>
      <c r="Q14" s="289"/>
      <c r="R14" s="289"/>
    </row>
    <row r="15" spans="1:18" s="13" customFormat="1">
      <c r="A15" s="289"/>
      <c r="B15" s="289"/>
      <c r="C15" s="289"/>
      <c r="D15" s="289"/>
      <c r="E15"/>
      <c r="F15" s="289"/>
      <c r="G15" s="1156"/>
      <c r="H15" s="1157"/>
      <c r="I15" s="1157"/>
      <c r="J15" s="1157"/>
      <c r="K15" s="1157"/>
      <c r="L15" s="1157"/>
      <c r="M15" s="1157"/>
      <c r="N15" s="1157"/>
      <c r="O15" s="1157"/>
      <c r="P15" s="289"/>
      <c r="Q15" s="289"/>
      <c r="R15" s="289"/>
    </row>
    <row r="16" spans="1:18" s="13" customFormat="1">
      <c r="A16" s="289"/>
      <c r="B16" s="289"/>
      <c r="C16" s="289"/>
      <c r="D16" s="289"/>
      <c r="E16" s="289"/>
      <c r="F16" s="289"/>
      <c r="G16" s="289"/>
      <c r="H16" s="289"/>
      <c r="I16" s="289"/>
      <c r="J16" s="289"/>
      <c r="K16" s="289"/>
      <c r="L16" s="289"/>
      <c r="M16" s="289"/>
      <c r="N16" s="289"/>
      <c r="O16" s="289"/>
      <c r="P16" s="289"/>
      <c r="Q16" s="289"/>
      <c r="R16" s="289"/>
    </row>
    <row r="17" s="13" customFormat="1"/>
    <row r="18" s="13" customFormat="1"/>
    <row r="19" s="13" customFormat="1"/>
    <row r="20" s="13" customFormat="1"/>
    <row r="21" s="13" customFormat="1"/>
    <row r="22" s="13" customFormat="1"/>
    <row r="23" s="13" customFormat="1"/>
    <row r="24" s="13" customFormat="1"/>
    <row r="25" s="13" customFormat="1"/>
    <row r="26" s="13" customFormat="1"/>
    <row r="27" s="13" customFormat="1"/>
    <row r="28" s="13" customFormat="1"/>
    <row r="29" s="13" customFormat="1"/>
    <row r="30" s="13" customFormat="1"/>
    <row r="31" s="13" customFormat="1"/>
    <row r="32"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row r="147" s="13" customFormat="1"/>
    <row r="148" s="13" customFormat="1"/>
    <row r="149" s="13" customFormat="1"/>
    <row r="150" s="13" customFormat="1"/>
    <row r="151" s="13" customFormat="1"/>
    <row r="152" s="13" customFormat="1"/>
    <row r="153" s="13" customFormat="1"/>
    <row r="154" s="13" customFormat="1"/>
    <row r="155" s="13" customFormat="1"/>
    <row r="156" s="13" customFormat="1"/>
    <row r="157" s="13" customFormat="1"/>
    <row r="158" s="13" customFormat="1"/>
    <row r="159" s="13" customFormat="1"/>
    <row r="160" s="13" customFormat="1"/>
    <row r="161" s="13" customFormat="1"/>
    <row r="162" s="13" customFormat="1"/>
    <row r="163" s="13" customFormat="1"/>
    <row r="164" s="13" customFormat="1"/>
    <row r="165" s="13" customFormat="1"/>
    <row r="166" s="13" customFormat="1"/>
    <row r="167" s="13" customFormat="1"/>
    <row r="168" s="13" customFormat="1"/>
    <row r="169" s="13" customFormat="1"/>
    <row r="170" s="13" customFormat="1"/>
    <row r="171" s="13" customFormat="1"/>
    <row r="172" s="13" customFormat="1"/>
    <row r="173" s="13" customFormat="1"/>
    <row r="174" s="13" customFormat="1"/>
    <row r="175" s="13" customFormat="1"/>
    <row r="176" s="13" customFormat="1"/>
    <row r="177" s="13" customFormat="1"/>
    <row r="178" s="13" customFormat="1"/>
    <row r="179" s="13" customFormat="1"/>
    <row r="180" s="13" customFormat="1"/>
    <row r="181" s="13" customFormat="1"/>
    <row r="182" s="13" customFormat="1"/>
    <row r="183" s="13" customFormat="1"/>
    <row r="184" s="13" customFormat="1"/>
    <row r="185" s="13" customFormat="1"/>
    <row r="186" s="13" customFormat="1"/>
    <row r="187" s="13" customFormat="1"/>
    <row r="188" s="13" customFormat="1"/>
    <row r="189" s="13" customFormat="1"/>
    <row r="190" s="13" customFormat="1"/>
    <row r="191" s="13" customFormat="1"/>
    <row r="192" s="13" customFormat="1"/>
    <row r="193" s="13" customFormat="1"/>
    <row r="194" s="13" customFormat="1"/>
    <row r="195" s="13" customFormat="1"/>
    <row r="196" s="13" customFormat="1"/>
    <row r="197" s="13" customFormat="1"/>
    <row r="198" s="13" customFormat="1"/>
    <row r="199" s="13" customFormat="1"/>
    <row r="200" s="13" customFormat="1"/>
    <row r="201" s="13" customFormat="1"/>
    <row r="202" s="13" customFormat="1"/>
    <row r="203" s="13" customFormat="1"/>
    <row r="204" s="13" customFormat="1"/>
    <row r="205" s="13" customFormat="1"/>
    <row r="206" s="13" customFormat="1"/>
    <row r="207" s="13" customFormat="1"/>
    <row r="208" s="13" customFormat="1"/>
    <row r="209" s="13" customFormat="1"/>
    <row r="210" s="13" customFormat="1"/>
    <row r="211" s="13" customFormat="1"/>
    <row r="212" s="13" customFormat="1"/>
    <row r="213" s="13" customFormat="1"/>
    <row r="214" s="13" customFormat="1"/>
    <row r="215" s="13" customFormat="1"/>
    <row r="216" s="13" customFormat="1"/>
    <row r="217" s="13" customFormat="1"/>
    <row r="218" s="13" customFormat="1"/>
    <row r="219" s="13" customFormat="1"/>
    <row r="220" s="13" customFormat="1"/>
    <row r="221" s="13" customFormat="1"/>
    <row r="222" s="13" customFormat="1"/>
    <row r="223" s="13" customFormat="1"/>
    <row r="224" s="13" customFormat="1"/>
    <row r="225" s="13" customFormat="1"/>
    <row r="226" s="13" customFormat="1"/>
    <row r="227" s="13" customFormat="1"/>
    <row r="228" s="13" customFormat="1"/>
    <row r="229" s="13" customFormat="1"/>
    <row r="230" s="13" customFormat="1"/>
    <row r="231" s="13" customFormat="1"/>
    <row r="232" s="13" customFormat="1"/>
    <row r="233" s="13" customFormat="1"/>
    <row r="234" s="13" customFormat="1"/>
    <row r="235" s="13" customFormat="1"/>
    <row r="236" s="13" customFormat="1"/>
    <row r="237" s="13" customFormat="1"/>
    <row r="238" s="13" customFormat="1"/>
    <row r="239" s="13" customFormat="1"/>
    <row r="240" s="13" customFormat="1"/>
    <row r="241" s="13" customFormat="1"/>
    <row r="242" s="13" customFormat="1"/>
    <row r="243" s="13" customFormat="1"/>
    <row r="244" s="13" customFormat="1"/>
    <row r="245" s="13" customFormat="1"/>
    <row r="246" s="13" customFormat="1"/>
    <row r="247" s="13" customFormat="1"/>
    <row r="248" s="13" customFormat="1"/>
    <row r="249" s="13" customFormat="1"/>
    <row r="250" s="13" customFormat="1"/>
    <row r="251" s="13" customFormat="1"/>
    <row r="252" s="13" customFormat="1"/>
    <row r="253" s="13" customFormat="1"/>
    <row r="254" s="13" customFormat="1"/>
    <row r="255" s="13" customFormat="1"/>
    <row r="256" s="13" customFormat="1"/>
    <row r="257" s="13" customFormat="1"/>
    <row r="258" s="13" customFormat="1"/>
    <row r="259" s="13" customFormat="1"/>
    <row r="260" s="13" customFormat="1"/>
    <row r="261" s="13" customFormat="1"/>
    <row r="262" s="13" customFormat="1"/>
    <row r="263" s="13" customFormat="1"/>
    <row r="264" s="13" customFormat="1"/>
    <row r="265" s="13" customFormat="1"/>
    <row r="266" s="13" customFormat="1"/>
    <row r="267" s="13" customFormat="1"/>
    <row r="268" s="13" customFormat="1"/>
    <row r="269" s="13" customFormat="1"/>
    <row r="270" s="13" customFormat="1"/>
    <row r="271" s="13" customFormat="1"/>
    <row r="272" s="13" customFormat="1"/>
    <row r="273" s="13" customFormat="1"/>
    <row r="274" s="13" customFormat="1"/>
    <row r="275" s="13" customFormat="1"/>
    <row r="276" s="13" customFormat="1"/>
    <row r="277" s="13" customFormat="1"/>
    <row r="278" s="13" customFormat="1"/>
    <row r="279" s="13" customFormat="1"/>
    <row r="280" s="13" customFormat="1"/>
    <row r="281" s="13" customFormat="1"/>
    <row r="282" s="13" customFormat="1"/>
    <row r="283" s="13" customFormat="1"/>
    <row r="284" s="13" customFormat="1"/>
    <row r="285" s="13" customFormat="1"/>
    <row r="286" s="13" customFormat="1"/>
    <row r="287" s="13" customFormat="1"/>
    <row r="288" s="13" customFormat="1"/>
    <row r="289" s="13" customFormat="1"/>
    <row r="290" s="13" customFormat="1"/>
    <row r="291" s="13" customFormat="1"/>
    <row r="292" s="13" customFormat="1"/>
    <row r="293" s="13" customFormat="1"/>
    <row r="294" s="13" customFormat="1"/>
    <row r="295" s="13" customFormat="1"/>
    <row r="296" s="13" customFormat="1"/>
    <row r="297" s="13" customFormat="1"/>
    <row r="298" s="13" customFormat="1"/>
    <row r="299" s="13" customFormat="1"/>
    <row r="300" s="13" customFormat="1"/>
    <row r="301" s="13" customFormat="1"/>
    <row r="302" s="13" customFormat="1"/>
    <row r="303" s="13" customFormat="1"/>
    <row r="304" s="13" customFormat="1"/>
    <row r="305" s="13" customFormat="1"/>
    <row r="306" s="13" customFormat="1"/>
    <row r="307" s="13" customFormat="1"/>
    <row r="308" s="13" customFormat="1"/>
    <row r="309" s="13" customFormat="1"/>
    <row r="310" s="13" customFormat="1"/>
    <row r="311" s="13" customFormat="1"/>
    <row r="312" s="13" customFormat="1"/>
    <row r="313" s="13" customFormat="1"/>
    <row r="314" s="13" customFormat="1"/>
    <row r="315" s="13" customFormat="1"/>
    <row r="316" s="13" customFormat="1"/>
    <row r="317" s="13" customFormat="1"/>
    <row r="318" s="13" customFormat="1"/>
    <row r="319" s="13" customFormat="1"/>
    <row r="320" s="13" customFormat="1"/>
    <row r="321" s="13" customFormat="1"/>
    <row r="322" s="13" customFormat="1"/>
    <row r="323" s="13" customFormat="1"/>
    <row r="324" s="13" customFormat="1"/>
    <row r="325" s="13" customFormat="1"/>
    <row r="326" s="13" customFormat="1"/>
    <row r="327" s="13" customFormat="1"/>
    <row r="328" s="13" customFormat="1"/>
    <row r="329" s="13" customFormat="1"/>
    <row r="330" s="13" customFormat="1"/>
    <row r="331" s="13" customFormat="1"/>
    <row r="332" s="13" customFormat="1"/>
    <row r="333" s="13" customFormat="1"/>
    <row r="334" s="13" customFormat="1"/>
    <row r="335" s="13" customFormat="1"/>
    <row r="336" s="13" customFormat="1"/>
    <row r="337" s="13" customFormat="1"/>
    <row r="338" s="13" customFormat="1"/>
    <row r="339" s="13" customFormat="1"/>
    <row r="340" s="13" customFormat="1"/>
    <row r="341" s="13" customFormat="1"/>
    <row r="342" s="13" customFormat="1"/>
    <row r="343" s="13" customFormat="1"/>
    <row r="344" s="13" customFormat="1"/>
    <row r="345" s="13" customFormat="1"/>
    <row r="346" s="13" customFormat="1"/>
    <row r="347" s="13" customFormat="1"/>
    <row r="348" s="13" customFormat="1"/>
    <row r="349" s="13" customFormat="1"/>
    <row r="350" s="13" customFormat="1"/>
    <row r="351" s="13" customFormat="1"/>
    <row r="352" s="13" customFormat="1"/>
    <row r="353" s="13" customFormat="1"/>
    <row r="354" s="13" customFormat="1"/>
    <row r="355" s="13" customFormat="1"/>
    <row r="356" s="13" customFormat="1"/>
    <row r="357" s="13" customFormat="1"/>
    <row r="358" s="13" customFormat="1"/>
    <row r="359" s="13" customFormat="1"/>
    <row r="360" s="13" customFormat="1"/>
    <row r="361" s="13" customFormat="1"/>
    <row r="362" s="13" customFormat="1"/>
    <row r="363" s="13" customFormat="1"/>
    <row r="364" s="13" customFormat="1"/>
    <row r="365" s="13" customFormat="1"/>
    <row r="366" s="13" customFormat="1"/>
    <row r="367" s="13" customFormat="1"/>
    <row r="368" s="13" customFormat="1"/>
    <row r="369" s="13" customFormat="1"/>
    <row r="370" s="13" customFormat="1"/>
    <row r="371" s="13" customFormat="1"/>
    <row r="372" s="13" customFormat="1"/>
    <row r="373" s="13" customFormat="1"/>
    <row r="374" s="13" customFormat="1"/>
    <row r="375" s="13" customFormat="1"/>
    <row r="376" s="13" customFormat="1"/>
    <row r="377" s="13" customFormat="1"/>
    <row r="378" s="13" customFormat="1"/>
    <row r="379" s="13" customFormat="1"/>
    <row r="380" s="13" customFormat="1"/>
    <row r="381" s="13" customFormat="1"/>
    <row r="382" s="13" customFormat="1"/>
    <row r="383" s="13" customFormat="1"/>
    <row r="384" s="13" customFormat="1"/>
    <row r="385" s="13" customFormat="1"/>
    <row r="386" s="13" customFormat="1"/>
    <row r="387" s="13" customFormat="1"/>
    <row r="388" s="13" customFormat="1"/>
    <row r="389" s="13" customFormat="1"/>
    <row r="390" s="13" customFormat="1"/>
    <row r="391" s="13" customFormat="1"/>
    <row r="392" s="13" customFormat="1"/>
    <row r="393" s="13" customFormat="1"/>
  </sheetData>
  <mergeCells count="9">
    <mergeCell ref="D8:F8"/>
    <mergeCell ref="G8:P8"/>
    <mergeCell ref="J2:M4"/>
    <mergeCell ref="G15:O15"/>
    <mergeCell ref="D10:F10"/>
    <mergeCell ref="G10:O10"/>
    <mergeCell ref="G12:O12"/>
    <mergeCell ref="D14:F14"/>
    <mergeCell ref="G14:O14"/>
  </mergeCells>
  <hyperlinks>
    <hyperlink ref="G10" r:id="rId1"/>
    <hyperlink ref="G8"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R111"/>
  <sheetViews>
    <sheetView tabSelected="1" zoomScaleNormal="100" workbookViewId="0">
      <pane ySplit="4" topLeftCell="A5" activePane="bottomLeft" state="frozen"/>
      <selection pane="bottomLeft"/>
    </sheetView>
  </sheetViews>
  <sheetFormatPr defaultColWidth="28.85546875" defaultRowHeight="12.75"/>
  <cols>
    <col min="1" max="1" width="2.85546875" style="2" customWidth="1"/>
    <col min="2" max="2" width="4.85546875" style="2" customWidth="1"/>
    <col min="3" max="3" width="18.5703125" style="2" customWidth="1"/>
    <col min="4" max="4" width="18.5703125" style="244" customWidth="1"/>
    <col min="5" max="5" width="18.5703125" style="126" customWidth="1"/>
    <col min="6" max="6" width="18.5703125" style="2" customWidth="1"/>
    <col min="7" max="7" width="18.5703125" style="244" customWidth="1"/>
    <col min="8" max="8" width="18.5703125" style="126" customWidth="1"/>
    <col min="9" max="10" width="18.5703125" style="2" customWidth="1"/>
    <col min="11" max="12" width="16.42578125" style="2" customWidth="1"/>
    <col min="13" max="13" width="14.5703125" style="2" customWidth="1"/>
    <col min="14" max="16384" width="28.85546875" style="2"/>
  </cols>
  <sheetData>
    <row r="1" spans="1:13" ht="12.75" customHeight="1">
      <c r="A1"/>
      <c r="B1" s="288"/>
      <c r="C1" s="288"/>
      <c r="D1" s="288"/>
      <c r="E1" s="288"/>
      <c r="F1" s="288"/>
      <c r="G1" s="726" t="str">
        <f>IF('Język - Language'!$B$30="Polski",CONCATENATE("Cennik Reklamowy Wirtualna Polska Media S.A. - obowiązuje od 1.11.2019 r.",CHAR(10),"W celu zasięgnięcia dodatkowych informacji prosimy o kontakt z Biurem Reklamy,",CHAR(10),"reklama@grupawp.pl, tel. (+48) 22 57 63 900; fax (+48) 22 57 63 959"),CONCATENATE("Advertising price list of Wirtualna Polska Media S.A. - valid from November 1, 2019",CHAR(10),"For further information please contact the Advertising Office of WP,",CHAR(10),"reklama@grupawp.pl, phone (+48) 22 57 63 900; fax (+48) 22 57 63 959"))</f>
        <v>Cennik Reklamowy Wirtualna Polska Media S.A. - obowiązuje od 1.11.2019 r.
W celu zasięgnięcia dodatkowych informacji prosimy o kontakt z Biurem Reklamy,
reklama@grupawp.pl, tel. (+48) 22 57 63 900; fax (+48) 22 57 63 959</v>
      </c>
      <c r="H1" s="726"/>
      <c r="I1" s="726"/>
      <c r="J1" s="726"/>
      <c r="K1" s="290"/>
      <c r="L1" s="288"/>
      <c r="M1" s="288"/>
    </row>
    <row r="2" spans="1:13" ht="12.75" customHeight="1">
      <c r="A2" s="288"/>
      <c r="B2" s="288"/>
      <c r="C2" s="290"/>
      <c r="D2" s="290"/>
      <c r="E2" s="290"/>
      <c r="F2" s="290"/>
      <c r="G2" s="726"/>
      <c r="H2" s="726"/>
      <c r="I2" s="726"/>
      <c r="J2" s="726"/>
      <c r="K2" s="290"/>
      <c r="L2" s="288"/>
      <c r="M2" s="288"/>
    </row>
    <row r="3" spans="1:13" ht="12.75" customHeight="1">
      <c r="A3" s="288"/>
      <c r="B3" s="288"/>
      <c r="C3" s="290"/>
      <c r="D3" s="290"/>
      <c r="E3" s="290"/>
      <c r="F3" s="290"/>
      <c r="G3" s="726"/>
      <c r="H3" s="726"/>
      <c r="I3" s="726"/>
      <c r="J3" s="726"/>
      <c r="K3" s="290"/>
      <c r="L3" s="288"/>
      <c r="M3" s="288"/>
    </row>
    <row r="4" spans="1:13" s="34" customFormat="1" ht="12.75" customHeight="1">
      <c r="A4" s="291"/>
      <c r="B4" s="35"/>
      <c r="C4" s="35" t="str">
        <f>IF('Język - Language'!$B$30="Polski","         Reklama na wielu ekranach","         Multiscreen. Cross-Device")</f>
        <v xml:space="preserve">         Reklama na wielu ekranach</v>
      </c>
      <c r="D4" s="35"/>
      <c r="E4" s="35"/>
      <c r="F4" s="291"/>
      <c r="G4" s="291"/>
      <c r="H4" s="291"/>
      <c r="I4" s="291"/>
      <c r="J4" s="285" t="str">
        <f>IF('Język - Language'!$B$30="Polski","PL","EN")</f>
        <v>PL</v>
      </c>
      <c r="K4" s="291"/>
      <c r="L4" s="291"/>
      <c r="M4" s="291"/>
    </row>
    <row r="5" spans="1:13" ht="12.75" customHeight="1">
      <c r="A5" s="288"/>
      <c r="B5" s="288"/>
      <c r="C5" s="288"/>
      <c r="D5" s="288"/>
      <c r="E5" s="288"/>
      <c r="F5" s="288"/>
      <c r="G5" s="288"/>
      <c r="H5" s="288"/>
      <c r="I5" s="288"/>
      <c r="J5" s="288"/>
      <c r="K5" s="288"/>
      <c r="L5" s="288"/>
      <c r="M5" s="288"/>
    </row>
    <row r="6" spans="1:13" s="56" customFormat="1" ht="12.75" customHeight="1">
      <c r="A6" s="288"/>
      <c r="B6" s="288"/>
      <c r="C6" s="288"/>
      <c r="D6" s="288"/>
      <c r="E6" s="288"/>
      <c r="F6" s="288"/>
      <c r="G6" s="288"/>
      <c r="H6" s="288"/>
      <c r="I6" s="288"/>
      <c r="J6" s="288"/>
      <c r="K6" s="288"/>
      <c r="L6" s="288"/>
      <c r="M6" s="288"/>
    </row>
    <row r="7" spans="1:13" s="55" customFormat="1" ht="12.75" customHeight="1">
      <c r="A7" s="286"/>
      <c r="B7" s="286"/>
      <c r="C7" s="766" t="str">
        <f>IF('Język - Language'!$B$30="Polski","        WP STRONA GŁÓWNA (DESKTOP/TABLET)","        WP HOME PAGE (DESKTOP/TABLET)")</f>
        <v xml:space="preserve">        WP STRONA GŁÓWNA (DESKTOP/TABLET)</v>
      </c>
      <c r="D7" s="766"/>
      <c r="E7" s="766"/>
      <c r="F7" s="766" t="str">
        <f>IF('Język - Language'!$B$30="Polski","WP STRONA GŁÓWNA (MOBILE¹)","WP HOME PAGE (MOBILE¹)")</f>
        <v>WP STRONA GŁÓWNA (MOBILE¹)</v>
      </c>
      <c r="G7" s="766"/>
      <c r="H7" s="766"/>
      <c r="I7" s="766" t="str">
        <f>IF('Język - Language'!$B$30="Polski","CENA RC","PRICE")</f>
        <v>CENA RC</v>
      </c>
      <c r="J7" s="779"/>
      <c r="K7" s="288"/>
      <c r="L7" s="288"/>
      <c r="M7" s="288"/>
    </row>
    <row r="8" spans="1:13" s="55" customFormat="1" ht="12.75" customHeight="1">
      <c r="A8"/>
      <c r="B8" s="286"/>
      <c r="C8" s="767"/>
      <c r="D8" s="767"/>
      <c r="E8" s="767"/>
      <c r="F8" s="767"/>
      <c r="G8" s="767"/>
      <c r="H8" s="767"/>
      <c r="I8" s="320" t="str">
        <f>IF('Język - Language'!$B$30="Polski","styczeń-wrzesień","Jan-Sep")</f>
        <v>styczeń-wrzesień</v>
      </c>
      <c r="J8" s="246" t="str">
        <f>IF('Język - Language'!$B$30="Polski","październik-grudzień","Oct-Dec")</f>
        <v>październik-grudzień</v>
      </c>
      <c r="K8" s="286"/>
      <c r="L8" s="286"/>
      <c r="M8" s="286"/>
    </row>
    <row r="9" spans="1:13" s="79" customFormat="1" ht="25.5" customHeight="1">
      <c r="A9" s="288"/>
      <c r="B9" s="33"/>
      <c r="C9" s="738" t="str">
        <f>IF('Język - Language'!$B$30="Polski","Panel Premium Flat Fee","Panel Premium Flat Fee")</f>
        <v>Panel Premium Flat Fee</v>
      </c>
      <c r="D9" s="739"/>
      <c r="E9" s="740"/>
      <c r="F9" s="729" t="str">
        <f>IF('Język - Language'!$B$30="Polski","nd","n/a")</f>
        <v>nd</v>
      </c>
      <c r="G9" s="730"/>
      <c r="H9" s="731"/>
      <c r="I9" s="171">
        <v>385000</v>
      </c>
      <c r="J9" s="172">
        <v>450000</v>
      </c>
      <c r="K9" s="286"/>
      <c r="L9" s="286"/>
      <c r="M9" s="286"/>
    </row>
    <row r="10" spans="1:13" s="288" customFormat="1" ht="25.5" customHeight="1">
      <c r="B10" s="33"/>
      <c r="C10" s="735" t="str">
        <f>IF('Język - Language'!$B$30="Polski","Panel Premium XL Flat Fee","Panel Premium XL Flat Fee")</f>
        <v>Panel Premium XL Flat Fee</v>
      </c>
      <c r="D10" s="736"/>
      <c r="E10" s="737"/>
      <c r="F10" s="732"/>
      <c r="G10" s="733"/>
      <c r="H10" s="734"/>
      <c r="I10" s="438">
        <v>470000</v>
      </c>
      <c r="J10" s="437">
        <v>565000</v>
      </c>
      <c r="K10" s="286"/>
      <c r="L10" s="286"/>
      <c r="M10" s="286"/>
    </row>
    <row r="11" spans="1:13" s="288" customFormat="1" ht="25.5" customHeight="1">
      <c r="B11" s="33"/>
      <c r="C11" s="776" t="str">
        <f>IF('Język - Language'!$B$30="Polski","Commercial Break 1/uu na godzinę","Commercial Break 1/uu per hour")</f>
        <v>Commercial Break 1/uu na godzinę</v>
      </c>
      <c r="D11" s="777"/>
      <c r="E11" s="778"/>
      <c r="F11" s="780" t="str">
        <f>IF('Język - Language'!$B$30="Polski","Commercial Break 1/uu na godzinę","Commercial Break 1/uu per hour")</f>
        <v>Commercial Break 1/uu na godzinę</v>
      </c>
      <c r="G11" s="781"/>
      <c r="H11" s="782"/>
      <c r="I11" s="356">
        <v>380000</v>
      </c>
      <c r="J11" s="355">
        <v>450000</v>
      </c>
      <c r="K11" s="286"/>
      <c r="L11" s="286"/>
      <c r="M11" s="286"/>
    </row>
    <row r="12" spans="1:13" s="288" customFormat="1" ht="25.5" customHeight="1">
      <c r="B12" s="33"/>
      <c r="C12" s="746"/>
      <c r="D12" s="747"/>
      <c r="E12" s="748"/>
      <c r="F12" s="780" t="str">
        <f>IF('Język - Language'!$B$30="Polski","nd","n/a")</f>
        <v>nd</v>
      </c>
      <c r="G12" s="781"/>
      <c r="H12" s="782"/>
      <c r="I12" s="356">
        <v>270000</v>
      </c>
      <c r="J12" s="355">
        <v>320000</v>
      </c>
      <c r="K12" s="286"/>
      <c r="L12" s="286"/>
      <c r="M12" s="286"/>
    </row>
    <row r="13" spans="1:13" s="55" customFormat="1" ht="25.5" customHeight="1">
      <c r="A13" s="288"/>
      <c r="B13" s="741" t="str">
        <f>IF('Język - Language'!$B$30="Polski","Górny slot (pierwsza dniówka: 3 pierwsze odsłony)","Upper slot 3/uu")</f>
        <v>Górny slot (pierwsza dniówka: 3 pierwsze odsłony)</v>
      </c>
      <c r="C13" s="735" t="str">
        <f>IF('Język - Language'!$B$30="Polski","Double Billboard lub Wideboard 3/uu","Double Billboard or Wideboard 3/uu")</f>
        <v>Double Billboard lub Wideboard 3/uu</v>
      </c>
      <c r="D13" s="736"/>
      <c r="E13" s="737"/>
      <c r="F13" s="780" t="str">
        <f>IF('Język - Language'!$B$30="Polski","Banner skalowalny 3/uu","Adjusted Banner 3/uu")</f>
        <v>Banner skalowalny 3/uu</v>
      </c>
      <c r="G13" s="781"/>
      <c r="H13" s="782"/>
      <c r="I13" s="322">
        <v>570000</v>
      </c>
      <c r="J13" s="173">
        <v>680000</v>
      </c>
      <c r="K13" s="286"/>
      <c r="L13" s="286"/>
      <c r="M13" s="286"/>
    </row>
    <row r="14" spans="1:13" s="112" customFormat="1" ht="25.5" customHeight="1">
      <c r="A14" s="288"/>
      <c r="B14" s="741"/>
      <c r="C14" s="735" t="str">
        <f>IF('Język - Language'!$B$30="Polski","Gigaboard 1/uu + Mega Double Billboard 2/uu","Gigaboard 1/uu + Mega Double Billboard 2/uu")</f>
        <v>Gigaboard 1/uu + Mega Double Billboard 2/uu</v>
      </c>
      <c r="D14" s="736"/>
      <c r="E14" s="737"/>
      <c r="F14" s="780" t="str">
        <f>IF('Język - Language'!$B$30="Polski","Banner skalowalny XL 1/uu + Banner skalowalny 2/uu","Adjusted Banner XL 1/uu + Adjusted Banner 2/uu")</f>
        <v>Banner skalowalny XL 1/uu + Banner skalowalny 2/uu</v>
      </c>
      <c r="G14" s="781"/>
      <c r="H14" s="782"/>
      <c r="I14" s="322">
        <v>770000</v>
      </c>
      <c r="J14" s="173">
        <v>925000</v>
      </c>
      <c r="K14" s="286"/>
      <c r="L14" s="286"/>
      <c r="M14" s="286"/>
    </row>
    <row r="15" spans="1:13" s="91" customFormat="1" ht="25.5" customHeight="1">
      <c r="A15" s="288"/>
      <c r="B15" s="741"/>
      <c r="C15" s="735" t="str">
        <f>IF('Język - Language'!$B$30="Polski","Screening 1/uu + DBB lub Wideboard 2/uu (tablet: tylko górny format)","Screening 1/uu + DBB or Wideboard 2/uu (tablet:only upper banner)")</f>
        <v>Screening 1/uu + DBB lub Wideboard 2/uu (tablet: tylko górny format)</v>
      </c>
      <c r="D15" s="736"/>
      <c r="E15" s="737"/>
      <c r="F15" s="780" t="str">
        <f>IF('Język - Language'!$B$30="Polski","Screening lub Banner skalowalny 1/uu + Banner skalowalny 2/uu ","Screening or Adjusted Banner 1/uu + Adjusted Banner 2/uu ")</f>
        <v xml:space="preserve">Screening lub Banner skalowalny 1/uu + Banner skalowalny 2/uu </v>
      </c>
      <c r="G15" s="781"/>
      <c r="H15" s="782"/>
      <c r="I15" s="322">
        <v>630000</v>
      </c>
      <c r="J15" s="173">
        <v>750000</v>
      </c>
      <c r="K15" s="286"/>
      <c r="L15" s="286"/>
      <c r="M15" s="286"/>
    </row>
    <row r="16" spans="1:13" s="91" customFormat="1" ht="25.5" customHeight="1">
      <c r="A16" s="288"/>
      <c r="B16" s="741"/>
      <c r="C16" s="776" t="str">
        <f>IF('Język - Language'!$B$30="Polski","Screening 1/uu + DBB lub Wideboard 2/uu (tablet: tylko górny format)","Screening 1/uu + DBB lub Wideboard 2/uu (tablet:only upper banner)")</f>
        <v>Screening 1/uu + DBB lub Wideboard 2/uu (tablet: tylko górny format)</v>
      </c>
      <c r="D16" s="777"/>
      <c r="E16" s="778"/>
      <c r="F16" s="760" t="str">
        <f>IF('Język - Language'!$B$30="Polski","Screening 3/uu","Screening 3/uu")</f>
        <v>Screening 3/uu</v>
      </c>
      <c r="G16" s="761"/>
      <c r="H16" s="762"/>
      <c r="I16" s="783">
        <v>700000</v>
      </c>
      <c r="J16" s="774">
        <v>840000</v>
      </c>
      <c r="K16" s="286"/>
      <c r="L16" s="286"/>
      <c r="M16" s="286"/>
    </row>
    <row r="17" spans="1:13" s="55" customFormat="1" ht="25.5" customHeight="1">
      <c r="A17" s="288"/>
      <c r="B17" s="741"/>
      <c r="C17" s="746" t="str">
        <f>IF('Język - Language'!$B$30="Polski","VideoBackLayer 1/uu + DBB lub Wideboard 2/uu","VideoBackLayer 1/uu + DBB lub Wideboard 2/uu")</f>
        <v>VideoBackLayer 1/uu + DBB lub Wideboard 2/uu</v>
      </c>
      <c r="D17" s="747"/>
      <c r="E17" s="748"/>
      <c r="F17" s="732"/>
      <c r="G17" s="733"/>
      <c r="H17" s="734"/>
      <c r="I17" s="784"/>
      <c r="J17" s="775"/>
      <c r="K17" s="286"/>
      <c r="L17" s="286"/>
      <c r="M17" s="286"/>
    </row>
    <row r="18" spans="1:13" s="123" customFormat="1" ht="25.5" customHeight="1">
      <c r="A18" s="288"/>
      <c r="B18" s="741"/>
      <c r="C18" s="735" t="str">
        <f>IF('Język - Language'!$B$30="Polski","Welcome Screen 1/uu + DBB lub Wideboard 2/uu","Welcome Screen 1/uu + DBB lub Wideboard 2/uu")</f>
        <v>Welcome Screen 1/uu + DBB lub Wideboard 2/uu</v>
      </c>
      <c r="D18" s="736"/>
      <c r="E18" s="737"/>
      <c r="F18" s="780" t="str">
        <f>IF('Język - Language'!$B$30="Polski","Banner skalowalny XL 1/uu + Banner skalowalny 2/uu","Adjusted Banner XL 1/uu + Adjusted Banner 2/uu")</f>
        <v>Banner skalowalny XL 1/uu + Banner skalowalny 2/uu</v>
      </c>
      <c r="G18" s="781"/>
      <c r="H18" s="782"/>
      <c r="I18" s="322">
        <v>700000</v>
      </c>
      <c r="J18" s="173">
        <v>840000</v>
      </c>
      <c r="K18" s="286"/>
      <c r="L18" s="286"/>
      <c r="M18" s="286"/>
    </row>
    <row r="19" spans="1:13" s="91" customFormat="1" ht="25.5" customHeight="1">
      <c r="A19" s="288"/>
      <c r="B19" s="741"/>
      <c r="C19" s="735" t="str">
        <f>IF('Język - Language'!$B$30="Polski","Welcome Screen XL 1/uu + DBB lub Wideboard 2/uu","Welcome Screen XL 1/uu + DBB lub Wideboard 2/uu")</f>
        <v>Welcome Screen XL 1/uu + DBB lub Wideboard 2/uu</v>
      </c>
      <c r="D19" s="736"/>
      <c r="E19" s="737"/>
      <c r="F19" s="735" t="str">
        <f>IF('Język - Language'!$B$30="Polski","Banner skalowalny XL 1/uu + Banner skalowalny 2/uu","Adjusted Banner XL 1/uu + Adjusted Banner 2/uu")</f>
        <v>Banner skalowalny XL 1/uu + Banner skalowalny 2/uu</v>
      </c>
      <c r="G19" s="736"/>
      <c r="H19" s="737"/>
      <c r="I19" s="322">
        <v>770000</v>
      </c>
      <c r="J19" s="173">
        <v>930000</v>
      </c>
      <c r="K19" s="286"/>
      <c r="L19" s="286"/>
      <c r="M19" s="286"/>
    </row>
    <row r="20" spans="1:13" s="116" customFormat="1" ht="25.5" customHeight="1">
      <c r="B20" s="742"/>
      <c r="C20" s="771" t="str">
        <f>IF('Język - Language'!$B$30="Polski",CONCATENATE("Dodatkowe warianty (np. Megaformat lub Video w kreacji) dla w/w formatów w zakładce ",CHAR(34),"Dopłaty i uwagi dodatkowe",CHAR(34),"."),"Further options (e.g. Mega Ad Format or Vdeo within any ad format) for the above mentioned formats")</f>
        <v>Dodatkowe warianty (np. Megaformat lub Video w kreacji) dla w/w formatów w zakładce "Dopłaty i uwagi dodatkowe".</v>
      </c>
      <c r="D20" s="772"/>
      <c r="E20" s="772"/>
      <c r="F20" s="772"/>
      <c r="G20" s="772"/>
      <c r="H20" s="772"/>
      <c r="I20" s="772"/>
      <c r="J20" s="773"/>
      <c r="K20" s="286"/>
      <c r="L20" s="286"/>
      <c r="M20" s="286"/>
    </row>
    <row r="21" spans="1:13" s="112" customFormat="1" ht="25.5" customHeight="1">
      <c r="B21" s="749" t="str">
        <f>IF('Język - Language'!$B$30="Polski","Druga dniówka (od 4. odsłony)","Upper slot (FF after 3rd page view)")</f>
        <v>Druga dniówka (od 4. odsłony)</v>
      </c>
      <c r="C21" s="735" t="str">
        <f>IF('Język - Language'!$B$30="Polski","Double Billboard lub Wideboard FF","Double Billboard or Wideboard FF")</f>
        <v>Double Billboard lub Wideboard FF</v>
      </c>
      <c r="D21" s="736"/>
      <c r="E21" s="737"/>
      <c r="F21" s="735" t="str">
        <f>IF('Język - Language'!$B$30="Polski","Banner skalowalny FF","Adjusted Banner FF")</f>
        <v>Banner skalowalny FF</v>
      </c>
      <c r="G21" s="736"/>
      <c r="H21" s="737"/>
      <c r="I21" s="322">
        <v>315000</v>
      </c>
      <c r="J21" s="173">
        <v>375000</v>
      </c>
      <c r="K21" s="286"/>
      <c r="L21" s="286"/>
      <c r="M21" s="286"/>
    </row>
    <row r="22" spans="1:13" s="112" customFormat="1" ht="25.5" customHeight="1">
      <c r="B22" s="750"/>
      <c r="C22" s="735" t="str">
        <f>IF('Język - Language'!$B$30="Polski","Gigaboard 1/uu + Mega Double Billboard FF","Gigaboard 1/uu + Mega Double Billboard FF")</f>
        <v>Gigaboard 1/uu + Mega Double Billboard FF</v>
      </c>
      <c r="D22" s="736"/>
      <c r="E22" s="737"/>
      <c r="F22" s="735" t="str">
        <f>IF('Język - Language'!$B$30="Polski","Banner skalowalny XL 1/uu + Banner skalowalny FF","Adjusted Banner XL 1/uu + Adjusted Banner FF")</f>
        <v>Banner skalowalny XL 1/uu + Banner skalowalny FF</v>
      </c>
      <c r="G22" s="736"/>
      <c r="H22" s="737"/>
      <c r="I22" s="322">
        <v>440000</v>
      </c>
      <c r="J22" s="173">
        <v>530000</v>
      </c>
      <c r="K22" s="286"/>
      <c r="L22" s="286"/>
      <c r="M22" s="286"/>
    </row>
    <row r="23" spans="1:13" s="91" customFormat="1" ht="25.5" customHeight="1">
      <c r="B23" s="750"/>
      <c r="C23" s="735" t="str">
        <f>IF('Język - Language'!$B$30="Polski","Welcome Screen 1/uu + DBB lub Wideboard FF","Welcome Screen 1/uu + DBB lub Wideboard FF")</f>
        <v>Welcome Screen 1/uu + DBB lub Wideboard FF</v>
      </c>
      <c r="D23" s="736"/>
      <c r="E23" s="737"/>
      <c r="F23" s="735" t="str">
        <f>IF('Język - Language'!$B$30="Polski","Banner skalowalny XL 1/uu + Banner skalowalny FF","Adjusted Banner XL 1/uu + Adjusted Banner FF")</f>
        <v>Banner skalowalny XL 1/uu + Banner skalowalny FF</v>
      </c>
      <c r="G23" s="736"/>
      <c r="H23" s="737"/>
      <c r="I23" s="322">
        <v>415000</v>
      </c>
      <c r="J23" s="173">
        <v>495000</v>
      </c>
      <c r="K23" s="286"/>
      <c r="L23" s="286"/>
      <c r="M23" s="286"/>
    </row>
    <row r="24" spans="1:13" s="55" customFormat="1" ht="25.5" customHeight="1">
      <c r="B24" s="751"/>
      <c r="C24" s="771" t="str">
        <f>IF('Język - Language'!$B$30="Polski",CONCATENATE("Dodatkowe warianty (np. Megaformat lub Video w kreacji) dla w/w formatów w zakładce ",CHAR(34),"Dopłaty i uwagi dodatkowe",CHAR(34),"."),"Further options (e.g. Mega Ad Format or Vdeo within any ad format) for the above mentioned formats")</f>
        <v>Dodatkowe warianty (np. Megaformat lub Video w kreacji) dla w/w formatów w zakładce "Dopłaty i uwagi dodatkowe".</v>
      </c>
      <c r="D24" s="772"/>
      <c r="E24" s="772"/>
      <c r="F24" s="772"/>
      <c r="G24" s="772"/>
      <c r="H24" s="772"/>
      <c r="I24" s="772"/>
      <c r="J24" s="773"/>
      <c r="K24" s="286"/>
      <c r="L24" s="286"/>
      <c r="M24" s="286"/>
    </row>
    <row r="25" spans="1:13" s="55" customFormat="1" ht="12.75" customHeight="1">
      <c r="B25" s="832" t="str">
        <f>IF('Język - Language'!$B$30="Polski","Boksy w modułach tematycznych","Boxes in thematic category")</f>
        <v>Boksy w modułach tematycznych</v>
      </c>
      <c r="C25" s="735" t="s">
        <v>166</v>
      </c>
      <c r="D25" s="736"/>
      <c r="E25" s="737"/>
      <c r="F25" s="763" t="s">
        <v>166</v>
      </c>
      <c r="G25" s="764"/>
      <c r="H25" s="765"/>
      <c r="I25" s="322">
        <v>230000</v>
      </c>
      <c r="J25" s="173">
        <v>275000</v>
      </c>
      <c r="K25" s="286"/>
      <c r="L25" s="286"/>
      <c r="M25" s="286"/>
    </row>
    <row r="26" spans="1:13" s="288" customFormat="1" ht="12.75" customHeight="1">
      <c r="B26" s="832"/>
      <c r="C26" s="735" t="s">
        <v>87</v>
      </c>
      <c r="D26" s="736"/>
      <c r="E26" s="737"/>
      <c r="F26" s="763" t="s">
        <v>87</v>
      </c>
      <c r="G26" s="764"/>
      <c r="H26" s="765"/>
      <c r="I26" s="422">
        <v>190000</v>
      </c>
      <c r="J26" s="423">
        <v>225000</v>
      </c>
      <c r="K26" s="286"/>
      <c r="L26" s="286"/>
      <c r="M26" s="286"/>
    </row>
    <row r="27" spans="1:13" s="288" customFormat="1" ht="12.75" customHeight="1">
      <c r="B27" s="832"/>
      <c r="C27" s="735" t="str">
        <f>IF('Język - Language'!$B$30="Polski","Content Box XL (nad modułem Sport) FF","Content Box XL (above the category Sport) FF")</f>
        <v>Content Box XL (nad modułem Sport) FF</v>
      </c>
      <c r="D27" s="736"/>
      <c r="E27" s="737"/>
      <c r="F27" s="763" t="str">
        <f>IF('Język - Language'!$B$30="Polski","Content Box XL (Rectangle/Banner skalowany XL) w module Sport FF","Content Box XL (Rectangle/Adjusted Banner XL) above the category Sport FF")</f>
        <v>Content Box XL (Rectangle/Banner skalowany XL) w module Sport FF</v>
      </c>
      <c r="G27" s="764"/>
      <c r="H27" s="765"/>
      <c r="I27" s="414">
        <v>420000</v>
      </c>
      <c r="J27" s="419">
        <v>480000</v>
      </c>
      <c r="K27" s="286"/>
      <c r="L27" s="286"/>
      <c r="M27" s="286"/>
    </row>
    <row r="28" spans="1:13" s="55" customFormat="1" ht="12.75" customHeight="1">
      <c r="B28" s="832"/>
      <c r="C28" s="735" t="str">
        <f>IF('Język - Language'!$B$30="Polski","Content Box nad modułem Biznes FF²","Content Box above the category Business FF²")</f>
        <v>Content Box nad modułem Biznes FF²</v>
      </c>
      <c r="D28" s="736"/>
      <c r="E28" s="737"/>
      <c r="F28" s="757" t="str">
        <f>IF('Język - Language'!$B$30="Polski","Content Box (Banner/Banner skalowany) w module Biznes FF","Content Box (Banner/adjusted banner) above the category Business FF")</f>
        <v>Content Box (Banner/Banner skalowany) w module Biznes FF</v>
      </c>
      <c r="G28" s="758"/>
      <c r="H28" s="759"/>
      <c r="I28" s="322">
        <v>200000</v>
      </c>
      <c r="J28" s="173">
        <v>240000</v>
      </c>
      <c r="K28" s="286"/>
      <c r="L28" s="286"/>
      <c r="M28" s="286"/>
    </row>
    <row r="29" spans="1:13" s="55" customFormat="1" ht="12.75" customHeight="1">
      <c r="B29" s="832"/>
      <c r="C29" s="735" t="str">
        <f>IF('Język - Language'!$B$30="Polski","Content Box nad modułem Gwiazdy FF²","Content Box above the category Stars FF²")</f>
        <v>Content Box nad modułem Gwiazdy FF²</v>
      </c>
      <c r="D29" s="736"/>
      <c r="E29" s="737"/>
      <c r="F29" s="757" t="str">
        <f>IF('Język - Language'!$B$30="Polski","Content Box (Banner/Banner skalowany) nad modułem Gwiazdy FF","Content Box (Banner/adjusted banner) above the category Stars FF")</f>
        <v>Content Box (Banner/Banner skalowany) nad modułem Gwiazdy FF</v>
      </c>
      <c r="G29" s="758"/>
      <c r="H29" s="759"/>
      <c r="I29" s="322">
        <v>170000</v>
      </c>
      <c r="J29" s="173">
        <v>200000</v>
      </c>
      <c r="K29" s="286"/>
      <c r="L29" s="286"/>
      <c r="M29" s="286"/>
    </row>
    <row r="30" spans="1:13" s="55" customFormat="1" ht="12.75" customHeight="1">
      <c r="B30" s="832"/>
      <c r="C30" s="735" t="str">
        <f>IF('Język - Language'!$B$30="Polski","Content Box nad modułem Moto&amp;Tech&amp;Gry FF²","Content Box above the category Moto&amp;Tech FF²")</f>
        <v>Content Box nad modułem Moto&amp;Tech&amp;Gry FF²</v>
      </c>
      <c r="D30" s="736"/>
      <c r="E30" s="737"/>
      <c r="F30" s="757" t="str">
        <f>IF('Język - Language'!$B$30="Polski","Content Box (Banner/Banner skalowany) nad modułem Moto&amp;Tech FF","Content Box (Banner/adjusted banner) above the category Moto&amp;Tech FF")</f>
        <v>Content Box (Banner/Banner skalowany) nad modułem Moto&amp;Tech FF</v>
      </c>
      <c r="G30" s="758"/>
      <c r="H30" s="759"/>
      <c r="I30" s="322">
        <v>145000</v>
      </c>
      <c r="J30" s="173">
        <v>170000</v>
      </c>
      <c r="K30" s="286"/>
      <c r="L30" s="286"/>
      <c r="M30" s="286"/>
    </row>
    <row r="31" spans="1:13" s="55" customFormat="1" ht="12.75" customHeight="1">
      <c r="B31" s="832"/>
      <c r="C31" s="785" t="str">
        <f>IF('Język - Language'!$B$30="Polski","Content Box nad modułem Styl Życia FF²","Content Box above the category Lifestyle FF²")</f>
        <v>Content Box nad modułem Styl Życia FF²</v>
      </c>
      <c r="D31" s="786"/>
      <c r="E31" s="787"/>
      <c r="F31" s="768" t="str">
        <f>IF('Język - Language'!$B$30="Polski","Content Box (Banner/Banner skalowany) nad modułem Styl Życia FF","Content Box (Banner/adjusted banner) above the category Lifestyle FF")</f>
        <v>Content Box (Banner/Banner skalowany) nad modułem Styl Życia FF</v>
      </c>
      <c r="G31" s="769"/>
      <c r="H31" s="770"/>
      <c r="I31" s="425">
        <v>145000</v>
      </c>
      <c r="J31" s="426">
        <v>170000</v>
      </c>
      <c r="K31" s="286"/>
      <c r="L31" s="286"/>
      <c r="M31" s="286"/>
    </row>
    <row r="32" spans="1:13" s="147" customFormat="1" ht="12.75" customHeight="1">
      <c r="B32" s="363"/>
      <c r="C32" s="151" t="str">
        <f>IF('Język - Language'!$B$30="Polski","¹ kreacje skalowane przyjmują różne rozmiary w zależności od wielkości wyświetlacza telefonu użytkownika.","¹ The size of the banner depends on the user screen size.")</f>
        <v>¹ kreacje skalowane przyjmują różne rozmiary w zależności od wielkości wyświetlacza telefonu użytkownika.</v>
      </c>
      <c r="D32" s="151"/>
      <c r="E32" s="152"/>
      <c r="F32" s="153"/>
      <c r="G32" s="153"/>
      <c r="H32" s="153"/>
      <c r="I32" s="154"/>
      <c r="J32" s="362"/>
      <c r="K32" s="286"/>
      <c r="L32" s="286"/>
      <c r="M32" s="286"/>
    </row>
    <row r="33" spans="2:13" s="288" customFormat="1" ht="12.75" customHeight="1">
      <c r="B33" s="148"/>
      <c r="C33" s="155" t="str">
        <f>IF('Język - Language'!$B$30="Polski","² Content Box XL +75%","² Content Box XL +75%")</f>
        <v>² Content Box XL +75%</v>
      </c>
      <c r="D33" s="151"/>
      <c r="E33" s="152"/>
      <c r="F33" s="153"/>
      <c r="G33" s="153"/>
      <c r="H33" s="153"/>
      <c r="I33" s="154"/>
      <c r="J33" s="362"/>
      <c r="K33" s="286"/>
      <c r="L33" s="286"/>
      <c r="M33" s="286"/>
    </row>
    <row r="34" spans="2:13" s="55" customFormat="1" ht="12.75" customHeight="1">
      <c r="B34" s="288"/>
      <c r="C34" s="364" t="str">
        <f>IF('Język - Language'!$B$30="Polski","Dopłata za Retail Dniówkę +15%","+15% extra charge for special Retail Daily Emission")</f>
        <v>Dopłata za Retail Dniówkę +15%</v>
      </c>
      <c r="D34" s="155"/>
      <c r="E34" s="151"/>
      <c r="F34" s="157"/>
      <c r="G34" s="157"/>
      <c r="H34" s="157"/>
      <c r="I34" s="157"/>
      <c r="J34" s="160"/>
      <c r="K34" s="288"/>
      <c r="L34" s="288"/>
      <c r="M34" s="288"/>
    </row>
    <row r="35" spans="2:13" s="91" customFormat="1" ht="12.75" customHeight="1">
      <c r="B35" s="288"/>
      <c r="C35" s="288"/>
      <c r="D35" s="288"/>
      <c r="E35" s="288"/>
      <c r="F35" s="288"/>
      <c r="G35" s="288"/>
      <c r="H35" s="288"/>
      <c r="I35" s="288"/>
      <c r="J35" s="288"/>
      <c r="K35" s="288"/>
      <c r="L35" s="288"/>
      <c r="M35" s="288"/>
    </row>
    <row r="36" spans="2:13" s="55" customFormat="1" ht="12.75" customHeight="1">
      <c r="B36" s="288"/>
      <c r="C36" s="288"/>
      <c r="D36" s="288"/>
      <c r="E36" s="288"/>
      <c r="F36" s="288"/>
      <c r="G36" s="288"/>
      <c r="H36" s="288"/>
      <c r="I36" s="288"/>
      <c r="J36" s="288"/>
      <c r="K36" s="288"/>
      <c r="L36" s="288"/>
      <c r="M36" s="288"/>
    </row>
    <row r="37" spans="2:13" s="55" customFormat="1" ht="12.75" customHeight="1">
      <c r="B37" s="752" t="str">
        <f>IF('Język - Language'!$B$30="Polski","STRONA GŁÓWNA O2 (DESKTOP/TABLET)","O2 HOME PAGE (DESKTOP/TABLET)")</f>
        <v>STRONA GŁÓWNA O2 (DESKTOP/TABLET)</v>
      </c>
      <c r="C37" s="752"/>
      <c r="D37" s="752"/>
      <c r="E37" s="752"/>
      <c r="F37" s="752" t="str">
        <f>IF('Język - Language'!$B$30="Polski","STRONA GŁÓWNA O2 (MOBILE)¹","O2 HOME PAGE (MOBILE)¹")</f>
        <v>STRONA GŁÓWNA O2 (MOBILE)¹</v>
      </c>
      <c r="G37" s="752"/>
      <c r="H37" s="752"/>
      <c r="I37" s="752" t="str">
        <f>IF('Język - Language'!$B$30="Polski","CZAS EMISJI","TIME")</f>
        <v>CZAS EMISJI</v>
      </c>
      <c r="J37" s="789" t="str">
        <f>IF('Język - Language'!$B$30="Polski","CENA RC","PRICE")</f>
        <v>CENA RC</v>
      </c>
      <c r="K37" s="288"/>
      <c r="L37" s="288"/>
      <c r="M37" s="288"/>
    </row>
    <row r="38" spans="2:13" s="55" customFormat="1" ht="12.75" customHeight="1">
      <c r="B38" s="753"/>
      <c r="C38" s="753"/>
      <c r="D38" s="753"/>
      <c r="E38" s="753"/>
      <c r="F38" s="753"/>
      <c r="G38" s="753"/>
      <c r="H38" s="753"/>
      <c r="I38" s="753"/>
      <c r="J38" s="790"/>
      <c r="K38" s="288"/>
      <c r="L38" s="288"/>
      <c r="M38" s="288"/>
    </row>
    <row r="39" spans="2:13" s="55" customFormat="1" ht="12.75" customHeight="1">
      <c r="B39" s="826" t="str">
        <f>IF('Język - Language'!$B$30="Polski","Gigaboard FF","Gigaboard FF")</f>
        <v>Gigaboard FF</v>
      </c>
      <c r="C39" s="827"/>
      <c r="D39" s="827"/>
      <c r="E39" s="828"/>
      <c r="F39" s="833" t="str">
        <f>IF('Język - Language'!$B$30="Polski","Rectangle/Banner skalowalny FF","Rectangle FF/Adjusted Banner FF")</f>
        <v>Rectangle/Banner skalowalny FF</v>
      </c>
      <c r="G39" s="834"/>
      <c r="H39" s="835"/>
      <c r="I39" s="791" t="str">
        <f>IF('Język - Language'!$B$30="Polski","Flat Fee / dzień","Flat Fee / 24 h")</f>
        <v>Flat Fee / dzień</v>
      </c>
      <c r="J39" s="174">
        <v>100000</v>
      </c>
      <c r="K39" s="288"/>
      <c r="L39" s="288"/>
      <c r="M39" s="288"/>
    </row>
    <row r="40" spans="2:13" s="58" customFormat="1" ht="12.75" customHeight="1">
      <c r="B40" s="819" t="str">
        <f>IF('Język - Language'!$B$30="Polski","Billboard/Double Billboard/Wideboard FF","Billboard/Double Billboard/Wideboard")</f>
        <v>Billboard/Double Billboard/Wideboard FF</v>
      </c>
      <c r="C40" s="820"/>
      <c r="D40" s="820"/>
      <c r="E40" s="821"/>
      <c r="F40" s="743" t="str">
        <f>IF('Język - Language'!$B$30="Polski","Banner skalowalny FF","Adjusted Banner FF")</f>
        <v>Banner skalowalny FF</v>
      </c>
      <c r="G40" s="744"/>
      <c r="H40" s="745"/>
      <c r="I40" s="791"/>
      <c r="J40" s="174">
        <v>65000</v>
      </c>
      <c r="K40" s="288"/>
      <c r="L40" s="288"/>
      <c r="M40" s="288"/>
    </row>
    <row r="41" spans="2:13" s="244" customFormat="1" ht="12.75" customHeight="1">
      <c r="B41" s="754" t="str">
        <f>IF('Język - Language'!$B$30="Polski","Billboard/Double Billboard/Wideboard FF (SG O2 + WARSTWY)","Billboard/Double Billboard/Wideboard FF (O2 HOME PAGE + LAYERS)")</f>
        <v>Billboard/Double Billboard/Wideboard FF (SG O2 + WARSTWY)</v>
      </c>
      <c r="C41" s="755"/>
      <c r="D41" s="755"/>
      <c r="E41" s="756"/>
      <c r="F41" s="793" t="str">
        <f>IF('Język - Language'!$B$30="Polski","Banner skalowalny FF","Adjusted Banner FF")</f>
        <v>Banner skalowalny FF</v>
      </c>
      <c r="G41" s="794"/>
      <c r="H41" s="795"/>
      <c r="I41" s="791"/>
      <c r="J41" s="174">
        <v>97000</v>
      </c>
      <c r="K41" s="288"/>
      <c r="L41" s="288"/>
      <c r="M41" s="288"/>
    </row>
    <row r="42" spans="2:13" ht="12.75" customHeight="1">
      <c r="B42" s="819" t="str">
        <f>IF('Język - Language'!$B$30="Polski","Native Ad Stream #1, #2 FF","Native Ad Stream #1, #2 FF")</f>
        <v>Native Ad Stream #1, #2 FF</v>
      </c>
      <c r="C42" s="820"/>
      <c r="D42" s="820"/>
      <c r="E42" s="821"/>
      <c r="F42" s="743" t="str">
        <f>IF('Język - Language'!$B$30="Polski","Native Ad FF","Native Ad FF")</f>
        <v>Native Ad FF</v>
      </c>
      <c r="G42" s="744"/>
      <c r="H42" s="745"/>
      <c r="I42" s="791"/>
      <c r="J42" s="174">
        <v>22000</v>
      </c>
      <c r="K42" s="288"/>
      <c r="L42" s="288"/>
      <c r="M42" s="288"/>
    </row>
    <row r="43" spans="2:13" ht="12.75" customHeight="1">
      <c r="B43" s="743" t="str">
        <f>IF('Język - Language'!$B$30="Polski","Mid Box FF","Mid Box FF")</f>
        <v>Mid Box FF</v>
      </c>
      <c r="C43" s="744"/>
      <c r="D43" s="744"/>
      <c r="E43" s="745"/>
      <c r="F43" s="743" t="str">
        <f>IF('Język - Language'!$B$30="Polski","Banner środkowy FF","Middle Banner FF")</f>
        <v>Banner środkowy FF</v>
      </c>
      <c r="G43" s="744"/>
      <c r="H43" s="745"/>
      <c r="I43" s="791"/>
      <c r="J43" s="175">
        <v>32000</v>
      </c>
      <c r="K43" s="288"/>
      <c r="L43" s="288"/>
      <c r="M43" s="288"/>
    </row>
    <row r="44" spans="2:13" ht="12.75" customHeight="1">
      <c r="B44" s="743" t="str">
        <f>IF('Język - Language'!$B$30="Polski","Content Box FF","Content Box FF")</f>
        <v>Content Box FF</v>
      </c>
      <c r="C44" s="744"/>
      <c r="D44" s="744"/>
      <c r="E44" s="745"/>
      <c r="F44" s="743" t="str">
        <f>IF('Język - Language'!$B$30="Polski","Drugi Banner środkowy FF","2nd Middle Banner FF")</f>
        <v>Drugi Banner środkowy FF</v>
      </c>
      <c r="G44" s="744"/>
      <c r="H44" s="745"/>
      <c r="I44" s="791"/>
      <c r="J44" s="176">
        <v>22000</v>
      </c>
      <c r="K44" s="288"/>
      <c r="L44" s="288"/>
      <c r="M44" s="288"/>
    </row>
    <row r="45" spans="2:13" s="244" customFormat="1" ht="12.75" customHeight="1">
      <c r="B45" s="743" t="str">
        <f>IF('Język - Language'!$B$30="Polski","Content Box FF (SG O2 + WARSTWY)","Content Box FF (O2 HOME PAGE + LAYERS)")</f>
        <v>Content Box FF (SG O2 + WARSTWY)</v>
      </c>
      <c r="C45" s="744"/>
      <c r="D45" s="744"/>
      <c r="E45" s="745"/>
      <c r="F45" s="743" t="str">
        <f>IF('Język - Language'!$B$30="Polski","Drugi Banner środkowy FF","2nd Middle Banner FF")</f>
        <v>Drugi Banner środkowy FF</v>
      </c>
      <c r="G45" s="744"/>
      <c r="H45" s="745"/>
      <c r="I45" s="791"/>
      <c r="J45" s="176">
        <v>33000</v>
      </c>
      <c r="K45" s="288"/>
      <c r="L45" s="288"/>
      <c r="M45" s="288"/>
    </row>
    <row r="46" spans="2:13" ht="12.75" customHeight="1">
      <c r="B46" s="743" t="str">
        <f>IF('Język - Language'!$B$30="Polski","Content Box XL FF","Content Box XL FF")</f>
        <v>Content Box XL FF</v>
      </c>
      <c r="C46" s="744"/>
      <c r="D46" s="744"/>
      <c r="E46" s="745"/>
      <c r="F46" s="743" t="str">
        <f>IF('Język - Language'!$B$30="Polski","Rectangle/Banner skalowalny FF","Rectangle/Adjusted Banner FF")</f>
        <v>Rectangle/Banner skalowalny FF</v>
      </c>
      <c r="G46" s="744"/>
      <c r="H46" s="745"/>
      <c r="I46" s="791"/>
      <c r="J46" s="176">
        <v>38000</v>
      </c>
      <c r="K46" s="288"/>
      <c r="L46" s="288"/>
      <c r="M46" s="288"/>
    </row>
    <row r="47" spans="2:13" s="244" customFormat="1" ht="12.75" customHeight="1">
      <c r="B47" s="743" t="str">
        <f>IF('Język - Language'!$B$30="Polski","Content Box XL FF (SG O2 + WARSTWY)","Content Box XL FF (O2 HOME PAGE + LAYERS)")</f>
        <v>Content Box XL FF (SG O2 + WARSTWY)</v>
      </c>
      <c r="C47" s="744"/>
      <c r="D47" s="744"/>
      <c r="E47" s="745"/>
      <c r="F47" s="743" t="str">
        <f>IF('Język - Language'!$B$30="Polski","Rectangle/Banner skalowalny FF","Rectangle/Adjusted Banner FF")</f>
        <v>Rectangle/Banner skalowalny FF</v>
      </c>
      <c r="G47" s="744"/>
      <c r="H47" s="745"/>
      <c r="I47" s="791"/>
      <c r="J47" s="175">
        <v>57000</v>
      </c>
      <c r="K47" s="288"/>
    </row>
    <row r="48" spans="2:13" ht="12.75" customHeight="1">
      <c r="B48" s="823" t="str">
        <f>IF('Język - Language'!$B$30="Polski","Bottom Box FF","Bottom Box FF")</f>
        <v>Bottom Box FF</v>
      </c>
      <c r="C48" s="824"/>
      <c r="D48" s="824"/>
      <c r="E48" s="825"/>
      <c r="F48" s="829" t="str">
        <f>IF('Język - Language'!$B$30="Polski","Banner dolny FF","Bottom Banner FF")</f>
        <v>Banner dolny FF</v>
      </c>
      <c r="G48" s="830"/>
      <c r="H48" s="831"/>
      <c r="I48" s="792"/>
      <c r="J48" s="266">
        <v>16000</v>
      </c>
      <c r="K48" s="288"/>
    </row>
    <row r="49" spans="1:11" ht="12.75" customHeight="1">
      <c r="B49" s="274" t="str">
        <f>IF('Język - Language'!$B$30="Polski","- Emisja na wszystkich urządzeniach. Niedostarczenie kreacji na jedno z urządzeń nie skutkuje obniżką ceny pakietowej.","- All screen emission. Failure on the creation of one of the devices does not result in price reduction package.")</f>
        <v>- Emisja na wszystkich urządzeniach. Niedostarczenie kreacji na jedno z urządzeń nie skutkuje obniżką ceny pakietowej.</v>
      </c>
      <c r="C49" s="272"/>
      <c r="D49" s="272"/>
      <c r="E49" s="272"/>
      <c r="F49" s="272"/>
      <c r="G49" s="272"/>
      <c r="H49" s="272"/>
      <c r="I49" s="272"/>
      <c r="J49" s="273"/>
      <c r="K49" s="288"/>
    </row>
    <row r="50" spans="1:11">
      <c r="B50" s="149" t="str">
        <f>IF('Język - Language'!$B$30="Polski","- Dopłata za expand na desktop + tablet: +50% ","- Expand version of ad format for desktop + tablet with extra charge +50%")</f>
        <v xml:space="preserve">- Dopłata za expand na desktop + tablet: +50% </v>
      </c>
      <c r="C50" s="150"/>
      <c r="D50" s="150"/>
      <c r="E50" s="150"/>
      <c r="F50" s="150"/>
      <c r="G50" s="150"/>
      <c r="H50" s="150"/>
      <c r="I50" s="150"/>
      <c r="J50" s="159"/>
      <c r="K50" s="288"/>
    </row>
    <row r="51" spans="1:11">
      <c r="B51" s="149" t="str">
        <f>IF('Język - Language'!$B$30="Polski","- Emisja innych pakietów Multiscreen dostępna na życzenie z dodatkowymi rabatami","- Others Multiscreen Packages are available on demand. We offer special prices.")</f>
        <v>- Emisja innych pakietów Multiscreen dostępna na życzenie z dodatkowymi rabatami</v>
      </c>
      <c r="C51" s="150"/>
      <c r="D51" s="150"/>
      <c r="E51" s="150"/>
      <c r="F51" s="150"/>
      <c r="G51" s="150"/>
      <c r="H51" s="150"/>
      <c r="I51" s="150"/>
      <c r="J51" s="159"/>
      <c r="K51" s="288"/>
    </row>
    <row r="52" spans="1:11" s="79" customFormat="1">
      <c r="B52" s="158" t="str">
        <f>IF('Język - Language'!$B$30="Polski","¹ kreacje skalowane przyjmują różne rozmiary w zależności od wielkości wyświetlacza telefonu użytkownika.","¹ The size of the banner depends on the user screen size.")</f>
        <v>¹ kreacje skalowane przyjmują różne rozmiary w zależności od wielkości wyświetlacza telefonu użytkownika.</v>
      </c>
      <c r="C52" s="150"/>
      <c r="D52" s="150"/>
      <c r="E52" s="150"/>
      <c r="F52" s="150"/>
      <c r="G52" s="150"/>
      <c r="H52" s="150"/>
      <c r="I52" s="150"/>
      <c r="J52" s="159"/>
      <c r="K52" s="288"/>
    </row>
    <row r="53" spans="1:11" s="91" customFormat="1">
      <c r="B53" s="288"/>
      <c r="C53" s="57"/>
      <c r="D53" s="57"/>
      <c r="E53" s="57"/>
      <c r="F53" s="57"/>
      <c r="G53" s="57"/>
      <c r="H53" s="57"/>
      <c r="I53" s="57"/>
      <c r="J53" s="57"/>
      <c r="K53" s="57"/>
    </row>
    <row r="54" spans="1:11" s="288" customFormat="1" ht="12.75" customHeight="1">
      <c r="A54" s="286"/>
      <c r="B54" s="526"/>
      <c r="C54" s="526"/>
      <c r="D54" s="526"/>
      <c r="E54" s="526"/>
      <c r="F54" s="526"/>
      <c r="G54" s="526"/>
      <c r="H54" s="526"/>
      <c r="I54" s="526"/>
      <c r="J54" s="540"/>
    </row>
    <row r="55" spans="1:11" s="288" customFormat="1" ht="12.75" customHeight="1">
      <c r="A55" s="286"/>
      <c r="B55" s="526"/>
      <c r="C55" s="526"/>
      <c r="D55" s="526"/>
      <c r="E55" s="526"/>
      <c r="F55" s="526"/>
      <c r="G55" s="526"/>
      <c r="H55" s="526"/>
      <c r="I55" s="526"/>
      <c r="J55" s="540"/>
    </row>
    <row r="56" spans="1:11" s="288" customFormat="1" ht="25.5" customHeight="1">
      <c r="A56" s="286"/>
      <c r="B56" s="836" t="s">
        <v>216</v>
      </c>
      <c r="C56" s="836"/>
      <c r="D56" s="836"/>
      <c r="E56" s="836"/>
      <c r="F56" s="836" t="s">
        <v>217</v>
      </c>
      <c r="G56" s="836"/>
      <c r="H56" s="836"/>
      <c r="I56" s="545" t="str">
        <f>IF('Język - Language'!$B$30="Polski","CZAS EMISJI","TIME")</f>
        <v>CZAS EMISJI</v>
      </c>
      <c r="J56" s="546" t="str">
        <f>IF('Język - Language'!$B$30="Polski","CENA","PRICE")</f>
        <v>CENA</v>
      </c>
    </row>
    <row r="57" spans="1:11" s="288" customFormat="1" ht="25.5" customHeight="1">
      <c r="A57" s="187"/>
      <c r="B57" s="809" t="s">
        <v>219</v>
      </c>
      <c r="C57" s="810"/>
      <c r="D57" s="810"/>
      <c r="E57" s="811"/>
      <c r="F57" s="809" t="str">
        <f>IF('Język - Language'!$B$30="Polski","Banner skalowalny capp 3/uu / dzień","Adjusted Banner capp 3/uu / 24h")</f>
        <v>Banner skalowalny capp 3/uu / dzień</v>
      </c>
      <c r="G57" s="810"/>
      <c r="H57" s="811"/>
      <c r="I57" s="327" t="s">
        <v>220</v>
      </c>
      <c r="J57" s="538">
        <v>45000</v>
      </c>
    </row>
    <row r="58" spans="1:11" s="288" customFormat="1" ht="25.5" customHeight="1">
      <c r="A58" s="187"/>
      <c r="B58" s="806" t="s">
        <v>227</v>
      </c>
      <c r="C58" s="807"/>
      <c r="D58" s="807"/>
      <c r="E58" s="808"/>
      <c r="F58" s="806" t="str">
        <f>IF('Język - Language'!$B$30="Polski","Banner skalowalny capp 3/uu / dzień","Adjusted Banner capp 3/uu / 24h")</f>
        <v>Banner skalowalny capp 3/uu / dzień</v>
      </c>
      <c r="G58" s="807"/>
      <c r="H58" s="808"/>
      <c r="I58" s="542" t="s">
        <v>220</v>
      </c>
      <c r="J58" s="539">
        <v>60000</v>
      </c>
    </row>
    <row r="59" spans="1:11" s="288" customFormat="1">
      <c r="C59" s="57"/>
      <c r="D59" s="57"/>
      <c r="E59" s="57"/>
      <c r="F59" s="57"/>
      <c r="G59" s="57"/>
      <c r="H59" s="57"/>
      <c r="I59" s="57"/>
      <c r="J59" s="57"/>
      <c r="K59" s="57"/>
    </row>
    <row r="60" spans="1:11" s="288" customFormat="1"/>
    <row r="62" spans="1:11" s="288" customFormat="1" ht="12.75" customHeight="1">
      <c r="B62" s="788" t="str">
        <f>IF('Język - Language'!$B$30="Polski","STRONA GŁÓWNA PUDELEK (DESKTOP/TABLET)","PUDELEK HOMEPAGE (DESKTOP/TABLET)")</f>
        <v>STRONA GŁÓWNA PUDELEK (DESKTOP/TABLET)</v>
      </c>
      <c r="C62" s="788"/>
      <c r="D62" s="788"/>
      <c r="E62" s="788"/>
      <c r="F62" s="788" t="str">
        <f>IF('Język - Language'!$B$30="Polski","STRONA GŁÓWNA PUDELEK (MOBILE)¹","PUDELEK HOMEPAGE (MOBILE)¹")</f>
        <v>STRONA GŁÓWNA PUDELEK (MOBILE)¹</v>
      </c>
      <c r="G62" s="788"/>
      <c r="H62" s="788"/>
      <c r="I62" s="788" t="str">
        <f>IF('Język - Language'!$B$30="Polski","CZAS EMISJI","TIME")</f>
        <v>CZAS EMISJI</v>
      </c>
      <c r="J62" s="822" t="str">
        <f>IF('Język - Language'!$B$30="Polski","CENA RC","PRICE")</f>
        <v>CENA RC</v>
      </c>
    </row>
    <row r="63" spans="1:11" s="288" customFormat="1">
      <c r="B63" s="788"/>
      <c r="C63" s="788"/>
      <c r="D63" s="788"/>
      <c r="E63" s="788"/>
      <c r="F63" s="788"/>
      <c r="G63" s="788"/>
      <c r="H63" s="788"/>
      <c r="I63" s="788"/>
      <c r="J63" s="822"/>
    </row>
    <row r="64" spans="1:11" s="288" customFormat="1" ht="12.75" customHeight="1">
      <c r="A64" s="187"/>
      <c r="B64" s="796" t="s">
        <v>255</v>
      </c>
      <c r="C64" s="797"/>
      <c r="D64" s="797"/>
      <c r="E64" s="798"/>
      <c r="F64" s="796" t="s">
        <v>255</v>
      </c>
      <c r="G64" s="797"/>
      <c r="H64" s="798"/>
      <c r="I64" s="791" t="str">
        <f>IF('Język - Language'!$B$30="Polski","Flat Fee / dzień"," Flat Fee / 24 h")</f>
        <v>Flat Fee / dzień</v>
      </c>
      <c r="J64" s="669">
        <v>75000</v>
      </c>
    </row>
    <row r="65" spans="1:18" s="288" customFormat="1" ht="12.75" customHeight="1">
      <c r="B65" s="754" t="str">
        <f>IF('Język - Language'!$B$30="Polski","Double Billboard lub Wideboard FF","Double Billboard or Wideboard FF")</f>
        <v>Double Billboard lub Wideboard FF</v>
      </c>
      <c r="C65" s="755"/>
      <c r="D65" s="755"/>
      <c r="E65" s="756"/>
      <c r="F65" s="794" t="str">
        <f>IF('Język - Language'!$B$30="Polski","Banner skalowalny FF","Adjusted Banner FF")</f>
        <v>Banner skalowalny FF</v>
      </c>
      <c r="G65" s="794"/>
      <c r="H65" s="795"/>
      <c r="I65" s="791"/>
      <c r="J65" s="174">
        <v>125000</v>
      </c>
    </row>
    <row r="66" spans="1:18" s="288" customFormat="1" ht="12.75" customHeight="1">
      <c r="B66" s="819" t="str">
        <f>IF('Język - Language'!$B$30="Polski","Screening 1/uu + Double Billboard/Wideboard FF (tablet: tylko górny format)","Screening 1/uu + Double Billboard/Wideboard FF (tablet:only upper banner)")</f>
        <v>Screening 1/uu + Double Billboard/Wideboard FF (tablet: tylko górny format)</v>
      </c>
      <c r="C66" s="820"/>
      <c r="D66" s="820"/>
      <c r="E66" s="821"/>
      <c r="F66" s="735" t="str">
        <f>IF('Język - Language'!$B$30="Polski","Screening/Banner skalowalny 1/uu + Banner skalowalny FF","Screening/Banner skalowalny 1/uu + Adjusted Banner FF")</f>
        <v>Screening/Banner skalowalny 1/uu + Banner skalowalny FF</v>
      </c>
      <c r="G66" s="736"/>
      <c r="H66" s="737"/>
      <c r="I66" s="791"/>
      <c r="J66" s="175">
        <v>135000</v>
      </c>
    </row>
    <row r="67" spans="1:18" ht="12.75" customHeight="1">
      <c r="B67" s="819" t="str">
        <f>IF('Język - Language'!$B$30="Polski","Screening 3/uu + Double Billboard/Wideboard FF (tablet: tylko górny format)","Screening 3/uu + Double Billboard/Wideboard FF (tablet:only upper banner)")</f>
        <v>Screening 3/uu + Double Billboard/Wideboard FF (tablet: tylko górny format)</v>
      </c>
      <c r="C67" s="820"/>
      <c r="D67" s="820"/>
      <c r="E67" s="821"/>
      <c r="F67" s="735" t="str">
        <f>IF('Język - Language'!$B$30="Polski","Screening/Banner skalowalny 3/uu + Banner skalowalny FF","Screening/Banner skalowalny 3/uu + Adjusted Banner FF")</f>
        <v>Screening/Banner skalowalny 3/uu + Banner skalowalny FF</v>
      </c>
      <c r="G67" s="736"/>
      <c r="H67" s="737"/>
      <c r="I67" s="791"/>
      <c r="J67" s="175">
        <v>145000</v>
      </c>
      <c r="K67" s="288"/>
    </row>
    <row r="68" spans="1:18" s="156" customFormat="1" ht="12.75" customHeight="1">
      <c r="B68" s="823" t="str">
        <f>IF('Język - Language'!$B$30="Polski","Gigaboard 1/uu + Mega Double Billboard FF","Gigaboard 1/uu + Mega Double Billboard FF")</f>
        <v>Gigaboard 1/uu + Mega Double Billboard FF</v>
      </c>
      <c r="C68" s="824"/>
      <c r="D68" s="824"/>
      <c r="E68" s="825"/>
      <c r="F68" s="816" t="str">
        <f>IF('Język - Language'!$B$30="Polski","Banner skalowalny XL 1/uu + Banner skalowalny FF","Adjusted Banner XL 1/uu + Adjusted Banner FF")</f>
        <v>Banner skalowalny XL 1/uu + Banner skalowalny FF</v>
      </c>
      <c r="G68" s="817"/>
      <c r="H68" s="818"/>
      <c r="I68" s="792"/>
      <c r="J68" s="177">
        <v>155000</v>
      </c>
      <c r="K68" s="288"/>
    </row>
    <row r="69" spans="1:18">
      <c r="A69" s="288"/>
      <c r="B69" s="155" t="str">
        <f>IF('Język - Language'!$B$30="Polski","¹ kreacje skalowane przyjmują różne rozmiary w zależności od wielkości wyświetlacza telefonu użytkownika.","¹ The size of the banner depends on the user screen size.")</f>
        <v>¹ kreacje skalowane przyjmują różne rozmiary w zależności od wielkości wyświetlacza telefonu użytkownika.</v>
      </c>
      <c r="C69" s="161"/>
      <c r="D69" s="161"/>
      <c r="E69" s="161"/>
      <c r="F69" s="161"/>
      <c r="G69" s="161"/>
      <c r="H69" s="161"/>
      <c r="I69" s="161"/>
      <c r="J69" s="164"/>
      <c r="K69" s="288"/>
      <c r="L69" s="288"/>
      <c r="M69" s="288"/>
      <c r="N69" s="288"/>
      <c r="O69" s="288"/>
      <c r="P69" s="288"/>
      <c r="Q69" s="288"/>
      <c r="R69" s="288"/>
    </row>
    <row r="70" spans="1:18" s="167" customFormat="1">
      <c r="A70" s="288"/>
      <c r="B70" s="194"/>
      <c r="C70" s="288"/>
      <c r="D70" s="288"/>
      <c r="E70" s="288"/>
      <c r="F70" s="288"/>
      <c r="G70" s="288"/>
      <c r="H70" s="288"/>
      <c r="I70" s="288"/>
      <c r="J70" s="288"/>
      <c r="K70" s="286"/>
      <c r="L70" s="288"/>
      <c r="M70" s="288"/>
      <c r="N70" s="288"/>
      <c r="O70" s="288"/>
      <c r="P70" s="288"/>
      <c r="Q70" s="288"/>
      <c r="R70" s="288"/>
    </row>
    <row r="71" spans="1:18" s="167" customFormat="1">
      <c r="A71" s="288"/>
      <c r="B71" s="194"/>
      <c r="C71" s="288"/>
      <c r="D71" s="288"/>
      <c r="E71" s="288"/>
      <c r="F71" s="288"/>
      <c r="G71" s="288"/>
      <c r="H71" s="288"/>
      <c r="I71" s="288"/>
      <c r="J71" s="288"/>
      <c r="K71" s="286"/>
      <c r="L71" s="288"/>
      <c r="M71" s="288"/>
      <c r="N71" s="288"/>
      <c r="O71" s="288"/>
      <c r="P71" s="288"/>
      <c r="Q71" s="288"/>
      <c r="R71" s="288"/>
    </row>
    <row r="72" spans="1:18" s="182" customFormat="1" ht="25.5" customHeight="1">
      <c r="A72" s="288"/>
      <c r="B72" s="799" t="s">
        <v>5</v>
      </c>
      <c r="C72" s="800"/>
      <c r="D72" s="800"/>
      <c r="E72" s="801"/>
      <c r="F72" s="799" t="s">
        <v>6</v>
      </c>
      <c r="G72" s="800"/>
      <c r="H72" s="801"/>
      <c r="I72" s="195" t="str">
        <f>IF('Język - Language'!$B$30="Polski","MODEL EMISJI","MODEL OF EMISSION")</f>
        <v>MODEL EMISJI</v>
      </c>
      <c r="J72" s="195" t="str">
        <f>IF('Język - Language'!$B$30="Polski","CENA","PRICE")</f>
        <v>CENA</v>
      </c>
      <c r="K72" s="288"/>
      <c r="L72" s="288"/>
      <c r="M72" s="288"/>
      <c r="N72" s="288"/>
      <c r="O72" s="288"/>
      <c r="P72" s="288"/>
      <c r="Q72" s="288"/>
      <c r="R72" s="288"/>
    </row>
    <row r="73" spans="1:18" s="182" customFormat="1">
      <c r="A73" s="187"/>
      <c r="B73" s="855" t="s">
        <v>7</v>
      </c>
      <c r="C73" s="856"/>
      <c r="D73" s="856"/>
      <c r="E73" s="857"/>
      <c r="F73" s="855" t="str">
        <f>IF('Język - Language'!$B$30="Polski","Banner skalowalny","Adjusted Banner")</f>
        <v>Banner skalowalny</v>
      </c>
      <c r="G73" s="856"/>
      <c r="H73" s="857"/>
      <c r="I73" s="849" t="str">
        <f>IF('Język - Language'!$B$30="Polski","Flat Fee / tydzień","Flat Fee / 1 week")</f>
        <v>Flat Fee / tydzień</v>
      </c>
      <c r="J73" s="185">
        <v>78000</v>
      </c>
      <c r="K73" s="288"/>
      <c r="L73" s="288"/>
      <c r="M73" s="288"/>
      <c r="N73" s="288"/>
      <c r="O73" s="288"/>
      <c r="P73" s="288"/>
      <c r="Q73" s="288"/>
      <c r="R73" s="288"/>
    </row>
    <row r="74" spans="1:18" s="167" customFormat="1">
      <c r="A74" s="187"/>
      <c r="B74" s="735" t="s">
        <v>8</v>
      </c>
      <c r="C74" s="736"/>
      <c r="D74" s="736"/>
      <c r="E74" s="737"/>
      <c r="F74" s="735" t="str">
        <f>IF('Język - Language'!$B$30="Polski","Banner skalowalny XL","Adjusted Banner XL")</f>
        <v>Banner skalowalny XL</v>
      </c>
      <c r="G74" s="736"/>
      <c r="H74" s="737"/>
      <c r="I74" s="850"/>
      <c r="J74" s="184">
        <v>105000</v>
      </c>
      <c r="K74" s="288"/>
      <c r="L74" s="288"/>
      <c r="M74" s="288"/>
      <c r="N74" s="288"/>
      <c r="O74" s="288"/>
      <c r="P74" s="288"/>
      <c r="Q74" s="288"/>
      <c r="R74" s="288"/>
    </row>
    <row r="75" spans="1:18" s="167" customFormat="1">
      <c r="A75" s="187"/>
      <c r="B75" s="735" t="s">
        <v>9</v>
      </c>
      <c r="C75" s="736"/>
      <c r="D75" s="736"/>
      <c r="E75" s="737"/>
      <c r="F75" s="735" t="str">
        <f>IF('Język - Language'!$B$30="Polski","Banner skalowalny XL","Adjusted Banner XL")</f>
        <v>Banner skalowalny XL</v>
      </c>
      <c r="G75" s="736"/>
      <c r="H75" s="737"/>
      <c r="I75" s="850"/>
      <c r="J75" s="184">
        <v>120000</v>
      </c>
      <c r="K75" s="288"/>
      <c r="L75" s="288"/>
      <c r="M75" s="288"/>
      <c r="N75" s="288"/>
      <c r="O75" s="288"/>
      <c r="P75" s="288"/>
      <c r="Q75" s="288"/>
      <c r="R75" s="288"/>
    </row>
    <row r="76" spans="1:18" s="167" customFormat="1">
      <c r="A76" s="187"/>
      <c r="B76" s="735" t="s">
        <v>10</v>
      </c>
      <c r="C76" s="736"/>
      <c r="D76" s="736"/>
      <c r="E76" s="737"/>
      <c r="F76" s="735" t="str">
        <f>IF('Język - Language'!$B$30="Polski","Rectangle nr 1","Rectangle no.1")</f>
        <v>Rectangle nr 1</v>
      </c>
      <c r="G76" s="736"/>
      <c r="H76" s="737"/>
      <c r="I76" s="850"/>
      <c r="J76" s="183">
        <v>45000</v>
      </c>
      <c r="K76" s="288"/>
      <c r="L76" s="288"/>
      <c r="M76" s="288"/>
      <c r="N76" s="288"/>
      <c r="O76" s="288"/>
      <c r="P76" s="288"/>
      <c r="Q76" s="288"/>
      <c r="R76" s="288"/>
    </row>
    <row r="77" spans="1:18" s="167" customFormat="1">
      <c r="A77" s="187"/>
      <c r="B77" s="816" t="s">
        <v>11</v>
      </c>
      <c r="C77" s="817"/>
      <c r="D77" s="817"/>
      <c r="E77" s="818"/>
      <c r="F77" s="785" t="str">
        <f>IF('Język - Language'!$B$30="Polski","Banner skalowany","Adjusted Banner")</f>
        <v>Banner skalowany</v>
      </c>
      <c r="G77" s="786"/>
      <c r="H77" s="787"/>
      <c r="I77" s="851"/>
      <c r="J77" s="338">
        <v>52000</v>
      </c>
      <c r="K77" s="288"/>
      <c r="L77" s="288"/>
      <c r="M77" s="288"/>
      <c r="N77" s="288"/>
      <c r="O77" s="288"/>
      <c r="P77" s="288"/>
      <c r="Q77" s="288"/>
      <c r="R77" s="288"/>
    </row>
    <row r="78" spans="1:18" s="167" customFormat="1">
      <c r="A78" s="288"/>
      <c r="B78" s="155" t="str">
        <f>IF('Język - Language'!$B$30="Polski","¹ dopłata do formatu 1200x200 px 25%","¹ Extra charge for 1200x200 px format +25%")</f>
        <v>¹ dopłata do formatu 1200x200 px 25%</v>
      </c>
      <c r="C78" s="161"/>
      <c r="D78" s="161"/>
      <c r="E78" s="161"/>
      <c r="F78" s="178"/>
      <c r="G78" s="178"/>
      <c r="H78" s="161"/>
      <c r="I78" s="161"/>
      <c r="J78" s="162"/>
      <c r="K78" s="288"/>
      <c r="L78" s="288"/>
      <c r="M78" s="288"/>
      <c r="N78" s="288"/>
      <c r="O78" s="288"/>
      <c r="P78" s="288"/>
      <c r="Q78" s="288"/>
      <c r="R78" s="288"/>
    </row>
    <row r="79" spans="1:18" s="167" customFormat="1">
      <c r="A79" s="288"/>
      <c r="B79" s="155" t="str">
        <f>IF('Język - Language'!$B$30="Polski","² Content Box XL +75%","² Content Box XL +75%")</f>
        <v>² Content Box XL +75%</v>
      </c>
      <c r="C79" s="161"/>
      <c r="D79" s="161"/>
      <c r="E79" s="161"/>
      <c r="F79" s="161"/>
      <c r="G79" s="161"/>
      <c r="H79" s="161"/>
      <c r="I79" s="161"/>
      <c r="J79" s="164"/>
      <c r="K79" s="288"/>
      <c r="L79" s="288"/>
      <c r="M79" s="288"/>
      <c r="N79" s="288"/>
      <c r="O79" s="288"/>
      <c r="P79" s="288"/>
      <c r="Q79" s="288"/>
      <c r="R79" s="288"/>
    </row>
    <row r="80" spans="1:18" s="186" customFormat="1">
      <c r="A80" s="288"/>
      <c r="B80" s="194"/>
      <c r="C80" s="288"/>
      <c r="D80" s="288"/>
      <c r="E80" s="288"/>
      <c r="F80" s="288"/>
      <c r="G80" s="288"/>
      <c r="H80" s="288"/>
      <c r="I80" s="288"/>
      <c r="J80" s="288"/>
      <c r="K80" s="288"/>
      <c r="L80" s="288"/>
      <c r="M80" s="288"/>
      <c r="N80" s="288"/>
      <c r="O80" s="288"/>
      <c r="P80" s="288"/>
      <c r="Q80" s="288"/>
      <c r="R80" s="288"/>
    </row>
    <row r="81" spans="1:18" s="186" customFormat="1">
      <c r="A81" s="288"/>
      <c r="B81" s="194"/>
      <c r="C81" s="288"/>
      <c r="D81" s="288"/>
      <c r="E81" s="288"/>
      <c r="F81" s="288"/>
      <c r="G81" s="288"/>
      <c r="H81" s="288"/>
      <c r="I81" s="288"/>
      <c r="J81" s="288"/>
      <c r="K81" s="288"/>
      <c r="L81" s="288"/>
      <c r="M81" s="288"/>
      <c r="N81" s="288"/>
      <c r="O81" s="288"/>
      <c r="P81" s="288"/>
      <c r="Q81" s="288"/>
      <c r="R81" s="288"/>
    </row>
    <row r="82" spans="1:18" s="186" customFormat="1" ht="25.5" customHeight="1">
      <c r="A82" s="288"/>
      <c r="B82" s="815" t="str">
        <f>IF('Język - Language'!$B$30="Polski","STRONA GŁÓWNA SPORTOWEFAKTY (DESKTOP/TABLET)","SPORTOWEFAKTY HOMEPAGE (DESKTOP/TABLET)")</f>
        <v>STRONA GŁÓWNA SPORTOWEFAKTY (DESKTOP/TABLET)</v>
      </c>
      <c r="C82" s="815"/>
      <c r="D82" s="815"/>
      <c r="E82" s="815"/>
      <c r="F82" s="815" t="str">
        <f>IF('Język - Language'!$B$30="Polski","STRONA GŁÓWNA SPORTOWEFAKTY (MOBILE)¹","SPORTOWEFAKTY HOMEPAGE (MOBILE)¹")</f>
        <v>STRONA GŁÓWNA SPORTOWEFAKTY (MOBILE)¹</v>
      </c>
      <c r="G82" s="815"/>
      <c r="H82" s="815"/>
      <c r="I82" s="318" t="str">
        <f>IF('Język - Language'!$B$30="Polski","CZAS EMISJI","TIME")</f>
        <v>CZAS EMISJI</v>
      </c>
      <c r="J82" s="211" t="str">
        <f>IF('Język - Language'!$B$30="Polski","CENA","PRICE")</f>
        <v>CENA</v>
      </c>
      <c r="K82" s="288"/>
      <c r="L82" s="288"/>
      <c r="M82" s="288"/>
      <c r="N82" s="288"/>
      <c r="O82" s="288"/>
      <c r="P82" s="288"/>
      <c r="Q82" s="288"/>
      <c r="R82" s="288"/>
    </row>
    <row r="83" spans="1:18" s="186" customFormat="1">
      <c r="A83" s="187"/>
      <c r="B83" s="802" t="str">
        <f>IF('Język - Language'!$B$30="Polski","Content Box","Content Box")</f>
        <v>Content Box</v>
      </c>
      <c r="C83" s="803"/>
      <c r="D83" s="803"/>
      <c r="E83" s="804"/>
      <c r="F83" s="802" t="str">
        <f>IF('Język - Language'!$B$30="Polski","Rectangle","Rectangle")</f>
        <v>Rectangle</v>
      </c>
      <c r="G83" s="803"/>
      <c r="H83" s="804"/>
      <c r="I83" s="210" t="str">
        <f>IF('Język - Language'!$B$30="Polski","Flat Fee / dzień","Flat Fee / 24 h")</f>
        <v>Flat Fee / dzień</v>
      </c>
      <c r="J83" s="181">
        <v>20000</v>
      </c>
      <c r="K83" s="288"/>
      <c r="L83" s="288"/>
      <c r="M83" s="288"/>
      <c r="N83" s="288"/>
      <c r="O83" s="288"/>
      <c r="P83" s="288"/>
      <c r="Q83" s="288"/>
      <c r="R83" s="288"/>
    </row>
    <row r="84" spans="1:18" s="186" customFormat="1">
      <c r="A84" s="187"/>
      <c r="B84" s="802"/>
      <c r="C84" s="803"/>
      <c r="D84" s="803"/>
      <c r="E84" s="804"/>
      <c r="F84" s="802"/>
      <c r="G84" s="803"/>
      <c r="H84" s="804"/>
      <c r="I84" s="328" t="str">
        <f>IF('Język - Language'!$B$30="Polski","Flat Fee / tydzień","Flat Fee / 1 week")</f>
        <v>Flat Fee / tydzień</v>
      </c>
      <c r="J84" s="180">
        <v>100000</v>
      </c>
      <c r="K84" s="288"/>
      <c r="L84" s="288"/>
      <c r="M84" s="288"/>
      <c r="N84" s="288"/>
      <c r="O84" s="288"/>
      <c r="P84" s="288"/>
      <c r="Q84" s="288"/>
      <c r="R84" s="288"/>
    </row>
    <row r="85" spans="1:18" s="186" customFormat="1" ht="25.5" customHeight="1">
      <c r="A85" s="288"/>
      <c r="B85" s="815" t="s">
        <v>12</v>
      </c>
      <c r="C85" s="815"/>
      <c r="D85" s="815"/>
      <c r="E85" s="815"/>
      <c r="F85" s="815" t="s">
        <v>13</v>
      </c>
      <c r="G85" s="815"/>
      <c r="H85" s="815"/>
      <c r="I85" s="318" t="str">
        <f>IF('Język - Language'!$B$30="Polski","CZAS EMISJI","TIME")</f>
        <v>CZAS EMISJI</v>
      </c>
      <c r="J85" s="211" t="str">
        <f>IF('Język - Language'!$B$30="Polski","CENA","PRICE")</f>
        <v>CENA</v>
      </c>
      <c r="K85" s="288"/>
      <c r="L85" s="288"/>
      <c r="M85" s="288"/>
      <c r="N85" s="288"/>
      <c r="O85" s="288"/>
      <c r="P85" s="288"/>
      <c r="Q85" s="288"/>
      <c r="R85" s="288"/>
    </row>
    <row r="86" spans="1:18" s="186" customFormat="1" ht="25.5" customHeight="1">
      <c r="A86" s="187"/>
      <c r="B86" s="809" t="str">
        <f>IF('Język - Language'!$B$30="Polski","Double Billboard","Double Billboard")</f>
        <v>Double Billboard</v>
      </c>
      <c r="C86" s="810"/>
      <c r="D86" s="810"/>
      <c r="E86" s="811"/>
      <c r="F86" s="809" t="str">
        <f>IF('Język - Language'!$B$30="Polski","Banner skalowalny","Adjusted Banner")</f>
        <v>Banner skalowalny</v>
      </c>
      <c r="G86" s="810"/>
      <c r="H86" s="811"/>
      <c r="I86" s="210" t="str">
        <f>IF('Język - Language'!$B$30="Polski","Flat Fee / dzień","Flat Fee / 24 h")</f>
        <v>Flat Fee / dzień</v>
      </c>
      <c r="J86" s="417">
        <v>160000</v>
      </c>
      <c r="K86" s="288"/>
      <c r="L86" s="288"/>
      <c r="M86" s="288"/>
      <c r="N86" s="288"/>
      <c r="O86" s="288"/>
      <c r="P86" s="288"/>
      <c r="Q86" s="288"/>
      <c r="R86" s="288"/>
    </row>
    <row r="87" spans="1:18" s="288" customFormat="1" ht="25.5" customHeight="1">
      <c r="A87" s="187"/>
      <c r="B87" s="809" t="s">
        <v>162</v>
      </c>
      <c r="C87" s="810"/>
      <c r="D87" s="810"/>
      <c r="E87" s="811"/>
      <c r="F87" s="839" t="s">
        <v>211</v>
      </c>
      <c r="G87" s="840"/>
      <c r="H87" s="841"/>
      <c r="I87" s="210" t="s">
        <v>164</v>
      </c>
      <c r="J87" s="418">
        <v>120000</v>
      </c>
    </row>
    <row r="88" spans="1:18" s="288" customFormat="1" ht="25.5" customHeight="1">
      <c r="A88" s="187"/>
      <c r="B88" s="806" t="s">
        <v>163</v>
      </c>
      <c r="C88" s="807"/>
      <c r="D88" s="807"/>
      <c r="E88" s="808"/>
      <c r="F88" s="842" t="s">
        <v>165</v>
      </c>
      <c r="G88" s="843"/>
      <c r="H88" s="844"/>
      <c r="I88" s="412" t="s">
        <v>164</v>
      </c>
      <c r="J88" s="411">
        <v>155000</v>
      </c>
    </row>
    <row r="89" spans="1:18" s="288" customFormat="1" ht="12.75" customHeight="1">
      <c r="A89" s="286"/>
      <c r="B89" s="295"/>
      <c r="C89" s="295"/>
      <c r="D89" s="295"/>
      <c r="E89" s="295"/>
      <c r="F89" s="295"/>
      <c r="G89" s="295"/>
      <c r="H89" s="295"/>
      <c r="I89" s="295"/>
      <c r="J89" s="298"/>
    </row>
    <row r="90" spans="1:18" s="288" customFormat="1" ht="12.75" customHeight="1">
      <c r="A90" s="286"/>
      <c r="B90" s="295"/>
      <c r="C90" s="295"/>
      <c r="D90" s="295"/>
      <c r="E90" s="295"/>
      <c r="F90" s="295"/>
      <c r="G90" s="295"/>
      <c r="H90" s="295"/>
      <c r="I90" s="295"/>
      <c r="J90" s="298"/>
    </row>
    <row r="91" spans="1:18" s="288" customFormat="1" ht="12.75" customHeight="1">
      <c r="A91" s="286"/>
      <c r="B91" s="295"/>
      <c r="C91" s="295"/>
      <c r="D91" s="295"/>
      <c r="E91" s="295"/>
      <c r="F91" s="295"/>
      <c r="G91" s="295"/>
      <c r="H91" s="295"/>
      <c r="I91" s="295"/>
      <c r="J91" s="298"/>
    </row>
    <row r="92" spans="1:18" s="288" customFormat="1" ht="25.5" customHeight="1">
      <c r="A92" s="286"/>
      <c r="B92" s="805" t="s">
        <v>14</v>
      </c>
      <c r="C92" s="805"/>
      <c r="D92" s="805"/>
      <c r="E92" s="805"/>
      <c r="F92" s="805" t="s">
        <v>102</v>
      </c>
      <c r="G92" s="805"/>
      <c r="H92" s="805"/>
      <c r="I92" s="543" t="str">
        <f>IF('Język - Language'!$B$30="Polski","CZAS EMISJI","TIME")</f>
        <v>CZAS EMISJI</v>
      </c>
      <c r="J92" s="544" t="str">
        <f>IF('Język - Language'!$B$30="Polski","CENA","PRICE")</f>
        <v>CENA</v>
      </c>
    </row>
    <row r="93" spans="1:18" s="288" customFormat="1" ht="12.75" customHeight="1">
      <c r="A93" s="187"/>
      <c r="B93" s="802" t="s">
        <v>218</v>
      </c>
      <c r="C93" s="803"/>
      <c r="D93" s="803"/>
      <c r="E93" s="804"/>
      <c r="F93" s="802" t="str">
        <f>IF('Język - Language'!$B$30="Polski","Banner skalowalny capp 1/uu","Adjusted Banner capp 1/uu")</f>
        <v>Banner skalowalny capp 1/uu</v>
      </c>
      <c r="G93" s="803"/>
      <c r="H93" s="804"/>
      <c r="I93" s="327" t="str">
        <f>IF('Język - Language'!$B$30="Polski","Flat Fee / dzień","Flat Fee / 24 h")</f>
        <v>Flat Fee / dzień</v>
      </c>
      <c r="J93" s="538">
        <v>25000</v>
      </c>
    </row>
    <row r="94" spans="1:18" s="288" customFormat="1" ht="12.75" customHeight="1">
      <c r="A94" s="187"/>
      <c r="B94" s="809"/>
      <c r="C94" s="810"/>
      <c r="D94" s="810"/>
      <c r="E94" s="811"/>
      <c r="F94" s="809"/>
      <c r="G94" s="810"/>
      <c r="H94" s="811"/>
      <c r="I94" s="327" t="str">
        <f>IF('Język - Language'!$B$30="Polski","Flat Fee / tydzień","Flat Fee / 1 week")</f>
        <v>Flat Fee / tydzień</v>
      </c>
      <c r="J94" s="181">
        <v>140000</v>
      </c>
    </row>
    <row r="95" spans="1:18" s="288" customFormat="1" ht="12.75" customHeight="1">
      <c r="A95" s="187"/>
      <c r="B95" s="802" t="s">
        <v>15</v>
      </c>
      <c r="C95" s="803"/>
      <c r="D95" s="803"/>
      <c r="E95" s="804"/>
      <c r="F95" s="812" t="str">
        <f>IF('Język - Language'!$B$30="Polski","Banner skalowalny capp 3/uu","Adjusted Banner capp 3/uu")</f>
        <v>Banner skalowalny capp 3/uu</v>
      </c>
      <c r="G95" s="813"/>
      <c r="H95" s="814"/>
      <c r="I95" s="299" t="str">
        <f>IF('Język - Language'!$B$30="Polski","Flat Fee / dzień","Flat Fee / 24 h")</f>
        <v>Flat Fee / dzień</v>
      </c>
      <c r="J95" s="329">
        <v>15000</v>
      </c>
    </row>
    <row r="96" spans="1:18" s="288" customFormat="1" ht="12.75" customHeight="1">
      <c r="A96" s="187"/>
      <c r="B96" s="806"/>
      <c r="C96" s="807"/>
      <c r="D96" s="807"/>
      <c r="E96" s="808"/>
      <c r="F96" s="806"/>
      <c r="G96" s="807"/>
      <c r="H96" s="808"/>
      <c r="I96" s="326" t="str">
        <f>IF('Język - Language'!$B$30="Polski","Flat Fee / tydzień","Flat Fee / 1 week")</f>
        <v>Flat Fee / tydzień</v>
      </c>
      <c r="J96" s="179">
        <v>90000</v>
      </c>
    </row>
    <row r="97" spans="1:18" s="186" customFormat="1">
      <c r="A97" s="288"/>
      <c r="B97" s="194"/>
      <c r="C97" s="288"/>
      <c r="D97" s="288"/>
      <c r="E97" s="288"/>
      <c r="F97" s="288"/>
      <c r="G97" s="288"/>
      <c r="H97" s="288"/>
      <c r="I97" s="288"/>
      <c r="J97" s="288"/>
      <c r="K97" s="288"/>
      <c r="L97" s="288"/>
      <c r="M97" s="288"/>
      <c r="N97" s="288"/>
      <c r="O97" s="288"/>
      <c r="P97" s="288"/>
      <c r="Q97" s="288"/>
      <c r="R97" s="288"/>
    </row>
    <row r="99" spans="1:18" s="65" customFormat="1" ht="22.35" customHeight="1">
      <c r="A99" s="288"/>
      <c r="B99" s="165"/>
      <c r="C99" s="847" t="str">
        <f>IF('Język - Language'!$B$30="Polski","DNIÓWKI TEMATYCZNE","DAILY THEMATIC EMISSION")</f>
        <v>DNIÓWKI TEMATYCZNE</v>
      </c>
      <c r="D99" s="847" t="str">
        <f>IF('Język - Language'!$B$30="Polski","MIEJSCE EMISJI","PLACE OF EMISSION")</f>
        <v>MIEJSCE EMISJI</v>
      </c>
      <c r="E99" s="847"/>
      <c r="F99" s="847" t="str">
        <f>IF('Język - Language'!$B$30="Polski","MODEL EMISJI","MODEL OF EMISSION")</f>
        <v>MODEL EMISJI</v>
      </c>
      <c r="G99" s="847" t="str">
        <f>IF('Język - Language'!$B$30="Polski","DOUBLE BILLBOARD, HALFPAGE (DESKTOP/TABLET)","DOUBLE BILLBOARD, HALFPAGE (DESKTOP/TABLET)")</f>
        <v>DOUBLE BILLBOARD, HALFPAGE (DESKTOP/TABLET)</v>
      </c>
      <c r="H99" s="847"/>
      <c r="I99" s="847" t="str">
        <f>IF('Język - Language'!$B$30="Polski","SCREENING 200 + DOUBLE BILLBOARD (DESKTOP/TABLET)","SCREENING 200 + DOUBLE BILLBOARD (DESKTOP/TABLET)")</f>
        <v>SCREENING 200 + DOUBLE BILLBOARD (DESKTOP/TABLET)</v>
      </c>
      <c r="J99" s="852"/>
      <c r="K99" s="288"/>
      <c r="L99" s="20"/>
      <c r="M99" s="6"/>
      <c r="N99" s="28"/>
      <c r="O99" s="286"/>
      <c r="P99" s="286"/>
      <c r="Q99" s="286"/>
      <c r="R99" s="288"/>
    </row>
    <row r="100" spans="1:18" s="127" customFormat="1" ht="16.350000000000001" customHeight="1">
      <c r="A100" s="288"/>
      <c r="B100" s="166"/>
      <c r="C100" s="848"/>
      <c r="D100" s="848"/>
      <c r="E100" s="848"/>
      <c r="F100" s="848"/>
      <c r="G100" s="853" t="str">
        <f>IF('Język - Language'!$B$30="Polski","BANNER SKALOWALNY (MOBILE)","ADJUSTED BANNER (MOBILE)")</f>
        <v>BANNER SKALOWALNY (MOBILE)</v>
      </c>
      <c r="H100" s="853"/>
      <c r="I100" s="853" t="str">
        <f>IF('Język - Language'!$B$30="Polski","SCREENING LUB BANNER XL (MOBILE)²","SCREENING OR BANNER XL (MOBILE)²")</f>
        <v>SCREENING LUB BANNER XL (MOBILE)²</v>
      </c>
      <c r="J100" s="854"/>
      <c r="K100" s="288"/>
      <c r="L100" s="20"/>
      <c r="M100" s="6"/>
      <c r="N100" s="28"/>
      <c r="O100" s="286"/>
      <c r="P100" s="286"/>
      <c r="Q100" s="286"/>
      <c r="R100" s="288"/>
    </row>
    <row r="101" spans="1:18" s="96" customFormat="1" ht="48" customHeight="1">
      <c r="A101" s="288"/>
      <c r="B101" s="738" t="str">
        <f>IF('Język - Language'!$B$30="Polski","Serwisy Premium","Premium Sites")</f>
        <v>Serwisy Premium</v>
      </c>
      <c r="C101" s="740"/>
      <c r="D101" s="738" t="s">
        <v>16</v>
      </c>
      <c r="E101" s="739"/>
      <c r="F101" s="168" t="str">
        <f>IF('Język - Language'!$B$30="Polski","łączny cap3xuu / dzień","cap3xuu (total 3 page views / day)")</f>
        <v>łączny cap3xuu / dzień</v>
      </c>
      <c r="G101" s="845" t="str">
        <f>IF('Język - Language'!$B$30="Polski",CONCATENATE("225 000 PLN dzień powszedni",CHAR(10),CHAR(10),"180 000 PLN dzień weekendowy"),CONCATENATE("225 000 PLN - workday",CHAR(10),CHAR(10),"180 000 PLN - weekend"))</f>
        <v>225 000 PLN dzień powszedni
180 000 PLN dzień weekendowy</v>
      </c>
      <c r="H101" s="846"/>
      <c r="I101" s="845" t="str">
        <f>IF('Język - Language'!$B$30="Polski",CONCATENATE("275 000 PLN dzień powszedni",CHAR(10),CHAR(10),"225 000 PLN dzień weekendowy"),CONCATENATE("275 000 PLN - workday",CHAR(10),CHAR(10),"225 000 PLN - weekend"))</f>
        <v>275 000 PLN dzień powszedni
225 000 PLN dzień weekendowy</v>
      </c>
      <c r="J101" s="846"/>
      <c r="K101" s="288"/>
      <c r="L101" s="19"/>
      <c r="M101" s="6"/>
      <c r="N101" s="28"/>
      <c r="O101" s="286"/>
      <c r="P101" s="286"/>
      <c r="Q101" s="286"/>
      <c r="R101" s="288"/>
    </row>
    <row r="102" spans="1:18" s="65" customFormat="1" ht="24.95" customHeight="1">
      <c r="A102" s="288"/>
      <c r="B102" s="735" t="str">
        <f>IF('Język - Language'!$B$30="Polski","Biznes","Business")</f>
        <v>Biznes</v>
      </c>
      <c r="C102" s="737"/>
      <c r="D102" s="735" t="s">
        <v>17</v>
      </c>
      <c r="E102" s="737"/>
      <c r="F102" s="334" t="str">
        <f>IF('Język - Language'!$B$30="Polski","łączny cap3xuu / dzień","cap3xuu (total 3 page views / day)")</f>
        <v>łączny cap3xuu / dzień</v>
      </c>
      <c r="G102" s="837">
        <v>180000</v>
      </c>
      <c r="H102" s="838"/>
      <c r="I102" s="837">
        <v>240000</v>
      </c>
      <c r="J102" s="838"/>
      <c r="K102" s="288"/>
      <c r="L102" s="19"/>
      <c r="M102" s="6"/>
      <c r="N102" s="28"/>
      <c r="O102" s="286"/>
      <c r="P102" s="286"/>
      <c r="Q102" s="286"/>
      <c r="R102" s="288"/>
    </row>
    <row r="103" spans="1:18" s="65" customFormat="1" ht="24.95" customHeight="1">
      <c r="B103" s="735" t="str">
        <f>IF('Język - Language'!$B$30="Polski","Wiadomości","News")</f>
        <v>Wiadomości</v>
      </c>
      <c r="C103" s="737"/>
      <c r="D103" s="735" t="s">
        <v>18</v>
      </c>
      <c r="E103" s="737"/>
      <c r="F103" s="275" t="str">
        <f>IF('Język - Language'!$B$30="Polski","łączny cap3xuu / dzień","cap3xuu (total 3 page views / day)")</f>
        <v>łączny cap3xuu / dzień</v>
      </c>
      <c r="G103" s="837">
        <v>160000</v>
      </c>
      <c r="H103" s="838"/>
      <c r="I103" s="837">
        <v>210000</v>
      </c>
      <c r="J103" s="838"/>
      <c r="K103" s="288"/>
      <c r="L103" s="19"/>
      <c r="M103" s="6"/>
      <c r="N103" s="28"/>
      <c r="O103" s="286"/>
      <c r="P103" s="286"/>
    </row>
    <row r="104" spans="1:18" s="65" customFormat="1" ht="24.95" customHeight="1">
      <c r="B104" s="735" t="str">
        <f>IF('Język - Language'!$B$30="Polski","Motoryzacja","Moto")</f>
        <v>Motoryzacja</v>
      </c>
      <c r="C104" s="737"/>
      <c r="D104" s="735" t="s">
        <v>19</v>
      </c>
      <c r="E104" s="736"/>
      <c r="F104" s="169" t="str">
        <f>IF('Język - Language'!$B$30="Polski","łączny cap3xuu / dzień","cap3xuu (total 3 page views / day)")</f>
        <v>łączny cap3xuu / dzień</v>
      </c>
      <c r="G104" s="837">
        <v>30000</v>
      </c>
      <c r="H104" s="838"/>
      <c r="I104" s="837">
        <v>40000</v>
      </c>
      <c r="J104" s="838"/>
      <c r="K104" s="288"/>
      <c r="L104" s="19"/>
      <c r="M104" s="6"/>
      <c r="N104" s="28"/>
      <c r="O104" s="286"/>
      <c r="P104" s="286"/>
    </row>
    <row r="105" spans="1:18" s="244" customFormat="1" ht="24.95" customHeight="1">
      <c r="B105" s="735" t="s">
        <v>20</v>
      </c>
      <c r="C105" s="737"/>
      <c r="D105" s="735" t="s">
        <v>21</v>
      </c>
      <c r="E105" s="737"/>
      <c r="F105" s="169" t="str">
        <f>IF('Język - Language'!$B$30="Polski","łączny cap3xuu / dzień","cap3xuu (total 3 page views / day)")</f>
        <v>łączny cap3xuu / dzień</v>
      </c>
      <c r="G105" s="837">
        <v>50000</v>
      </c>
      <c r="H105" s="838"/>
      <c r="I105" s="837">
        <v>80000</v>
      </c>
      <c r="J105" s="838"/>
      <c r="K105" s="288"/>
      <c r="L105" s="19"/>
      <c r="M105" s="6"/>
      <c r="N105" s="28"/>
      <c r="O105" s="286"/>
      <c r="P105" s="286"/>
    </row>
    <row r="106" spans="1:18" s="65" customFormat="1" ht="24.95" customHeight="1">
      <c r="B106" s="735" t="str">
        <f>IF('Język - Language'!$B$30="Polski","Kobieta","Woman")</f>
        <v>Kobieta</v>
      </c>
      <c r="C106" s="737"/>
      <c r="D106" s="735" t="s">
        <v>22</v>
      </c>
      <c r="E106" s="736"/>
      <c r="F106" s="169" t="str">
        <f>IF('Język - Language'!$B$30="Polski","łączny cap3xuu / dzień","cap3xuu (total 3 page views / day)")</f>
        <v>łączny cap3xuu / dzień</v>
      </c>
      <c r="G106" s="837">
        <v>70000</v>
      </c>
      <c r="H106" s="838"/>
      <c r="I106" s="837">
        <v>93000</v>
      </c>
      <c r="J106" s="838"/>
      <c r="K106" s="288"/>
      <c r="L106" s="19"/>
      <c r="M106" s="6"/>
      <c r="N106" s="28"/>
      <c r="O106" s="29"/>
      <c r="P106" s="5"/>
    </row>
    <row r="107" spans="1:18" s="126" customFormat="1" ht="24.95" customHeight="1">
      <c r="B107" s="735" t="str">
        <f>IF('Język - Language'!$B$30="Polski","Zdrowie ","Health")</f>
        <v xml:space="preserve">Zdrowie </v>
      </c>
      <c r="C107" s="737"/>
      <c r="D107" s="735" t="s">
        <v>23</v>
      </c>
      <c r="E107" s="736"/>
      <c r="F107" s="169" t="str">
        <f>IF('Język - Language'!$B$30="Polski","łączny cap3xuu / dzień","cap3xuu (total 3 page views / day)")</f>
        <v>łączny cap3xuu / dzień</v>
      </c>
      <c r="G107" s="837">
        <v>150000</v>
      </c>
      <c r="H107" s="838"/>
      <c r="I107" s="837">
        <v>195000</v>
      </c>
      <c r="J107" s="838"/>
      <c r="K107" s="288"/>
      <c r="L107" s="19"/>
      <c r="M107" s="6"/>
      <c r="N107" s="28"/>
      <c r="O107" s="29"/>
      <c r="P107" s="5"/>
    </row>
    <row r="108" spans="1:18" s="244" customFormat="1" ht="24.95" customHeight="1">
      <c r="B108" s="735" t="s">
        <v>25</v>
      </c>
      <c r="C108" s="737"/>
      <c r="D108" s="735" t="s">
        <v>26</v>
      </c>
      <c r="E108" s="736"/>
      <c r="F108" s="169" t="str">
        <f>IF('Język - Language'!$B$30="Polski","łączny cap3xuu / dzień","cap3xuu (total 3 page views / day)")</f>
        <v>łączny cap3xuu / dzień</v>
      </c>
      <c r="G108" s="837">
        <v>115000</v>
      </c>
      <c r="H108" s="838"/>
      <c r="I108" s="837">
        <v>150000</v>
      </c>
      <c r="J108" s="838"/>
      <c r="K108" s="288"/>
      <c r="L108" s="19"/>
      <c r="M108" s="6"/>
      <c r="N108" s="28"/>
      <c r="O108" s="286"/>
      <c r="P108" s="286"/>
    </row>
    <row r="109" spans="1:18" s="65" customFormat="1" ht="24.95" customHeight="1">
      <c r="B109" s="785" t="str">
        <f>IF('Język - Language'!$B$30="Polski","Turystyka","Travel")</f>
        <v>Turystyka</v>
      </c>
      <c r="C109" s="787"/>
      <c r="D109" s="785" t="s">
        <v>27</v>
      </c>
      <c r="E109" s="786"/>
      <c r="F109" s="170" t="str">
        <f>IF('Język - Language'!$B$30="Polski","łączny cap3xuu / dzień","cap3xuu (total 3 page views / day)")</f>
        <v>łączny cap3xuu / dzień</v>
      </c>
      <c r="G109" s="858">
        <v>20000</v>
      </c>
      <c r="H109" s="859"/>
      <c r="I109" s="858">
        <v>25000</v>
      </c>
      <c r="J109" s="859"/>
      <c r="K109" s="288"/>
      <c r="L109" s="19"/>
      <c r="M109" s="78"/>
      <c r="N109" s="286"/>
      <c r="O109" s="286"/>
      <c r="P109" s="286"/>
    </row>
    <row r="110" spans="1:18">
      <c r="B110" s="158" t="str">
        <f>IF('Język - Language'!$B$30="Polski","¹ emisja z wyłączeniem SG Pudelek","¹ emission without HP Pudelek")</f>
        <v>¹ emisja z wyłączeniem SG Pudelek</v>
      </c>
      <c r="C110" s="157"/>
      <c r="D110" s="157"/>
      <c r="E110" s="157"/>
      <c r="F110" s="157"/>
      <c r="G110" s="157"/>
      <c r="H110" s="157"/>
      <c r="I110" s="157"/>
      <c r="J110" s="163"/>
      <c r="K110" s="288"/>
      <c r="L110" s="288"/>
      <c r="M110" s="288"/>
      <c r="N110" s="288"/>
      <c r="O110" s="288"/>
      <c r="P110" s="288"/>
    </row>
    <row r="111" spans="1:18">
      <c r="B111" s="157" t="str">
        <f>IF('Język - Language'!$B$30="Polski","² format dostępny na wybranych serwisach mobile: Pudelek, WP Money, WP Sportowefakty, o2, Serwisy Premium WPM, abcZdrowie i Parenting (tylko strony artykułowe)","² available on the selected mobile services")</f>
        <v>² format dostępny na wybranych serwisach mobile: Pudelek, WP Money, WP Sportowefakty, o2, Serwisy Premium WPM, abcZdrowie i Parenting (tylko strony artykułowe)</v>
      </c>
      <c r="C111" s="161"/>
      <c r="D111" s="161"/>
      <c r="E111" s="161"/>
      <c r="F111" s="161"/>
      <c r="G111" s="161"/>
      <c r="H111" s="161"/>
      <c r="I111" s="161"/>
      <c r="J111" s="164"/>
      <c r="K111" s="288"/>
      <c r="L111" s="288"/>
      <c r="M111" s="288"/>
      <c r="N111" s="288"/>
      <c r="O111" s="288"/>
      <c r="P111" s="288"/>
    </row>
  </sheetData>
  <mergeCells count="170">
    <mergeCell ref="B106:C106"/>
    <mergeCell ref="D109:E109"/>
    <mergeCell ref="G107:H107"/>
    <mergeCell ref="I106:J106"/>
    <mergeCell ref="B109:C109"/>
    <mergeCell ref="B107:C107"/>
    <mergeCell ref="B108:C108"/>
    <mergeCell ref="D107:E107"/>
    <mergeCell ref="D106:E106"/>
    <mergeCell ref="G109:H109"/>
    <mergeCell ref="I107:J107"/>
    <mergeCell ref="G106:H106"/>
    <mergeCell ref="I109:J109"/>
    <mergeCell ref="I108:J108"/>
    <mergeCell ref="G105:H105"/>
    <mergeCell ref="I105:J105"/>
    <mergeCell ref="D108:E108"/>
    <mergeCell ref="G108:H108"/>
    <mergeCell ref="I73:I77"/>
    <mergeCell ref="F99:F100"/>
    <mergeCell ref="B76:E76"/>
    <mergeCell ref="B82:E82"/>
    <mergeCell ref="B77:E77"/>
    <mergeCell ref="B85:E85"/>
    <mergeCell ref="F76:H76"/>
    <mergeCell ref="D99:E100"/>
    <mergeCell ref="D103:E103"/>
    <mergeCell ref="I99:J99"/>
    <mergeCell ref="B101:C101"/>
    <mergeCell ref="I100:J100"/>
    <mergeCell ref="I101:J101"/>
    <mergeCell ref="G100:H100"/>
    <mergeCell ref="F86:H86"/>
    <mergeCell ref="F85:H85"/>
    <mergeCell ref="F73:H73"/>
    <mergeCell ref="B73:E73"/>
    <mergeCell ref="G99:H99"/>
    <mergeCell ref="B75:E75"/>
    <mergeCell ref="B86:E86"/>
    <mergeCell ref="C99:C100"/>
    <mergeCell ref="B87:E87"/>
    <mergeCell ref="B88:E88"/>
    <mergeCell ref="B105:C105"/>
    <mergeCell ref="D105:E105"/>
    <mergeCell ref="B104:C104"/>
    <mergeCell ref="B103:C103"/>
    <mergeCell ref="B102:C102"/>
    <mergeCell ref="D102:E102"/>
    <mergeCell ref="I103:J103"/>
    <mergeCell ref="D104:E104"/>
    <mergeCell ref="I102:J102"/>
    <mergeCell ref="F87:H87"/>
    <mergeCell ref="F88:H88"/>
    <mergeCell ref="I104:J104"/>
    <mergeCell ref="G102:H102"/>
    <mergeCell ref="G103:H103"/>
    <mergeCell ref="G104:H104"/>
    <mergeCell ref="B92:E92"/>
    <mergeCell ref="G101:H101"/>
    <mergeCell ref="B68:E68"/>
    <mergeCell ref="B39:E39"/>
    <mergeCell ref="F48:H48"/>
    <mergeCell ref="B25:B31"/>
    <mergeCell ref="B45:E45"/>
    <mergeCell ref="F39:H39"/>
    <mergeCell ref="B40:E40"/>
    <mergeCell ref="B43:E43"/>
    <mergeCell ref="F28:H28"/>
    <mergeCell ref="B62:E63"/>
    <mergeCell ref="F46:H46"/>
    <mergeCell ref="B66:E66"/>
    <mergeCell ref="B48:E48"/>
    <mergeCell ref="B67:E67"/>
    <mergeCell ref="B65:E65"/>
    <mergeCell ref="B56:E56"/>
    <mergeCell ref="F56:H56"/>
    <mergeCell ref="B58:E58"/>
    <mergeCell ref="F58:H58"/>
    <mergeCell ref="B57:E57"/>
    <mergeCell ref="F57:H57"/>
    <mergeCell ref="B64:E64"/>
    <mergeCell ref="B72:E72"/>
    <mergeCell ref="F74:H74"/>
    <mergeCell ref="F75:H75"/>
    <mergeCell ref="F72:H72"/>
    <mergeCell ref="B74:E74"/>
    <mergeCell ref="B47:E47"/>
    <mergeCell ref="D101:E101"/>
    <mergeCell ref="C24:J24"/>
    <mergeCell ref="B83:E84"/>
    <mergeCell ref="F92:H92"/>
    <mergeCell ref="B95:E96"/>
    <mergeCell ref="B93:E94"/>
    <mergeCell ref="F93:H94"/>
    <mergeCell ref="F95:H96"/>
    <mergeCell ref="F82:H82"/>
    <mergeCell ref="F68:H68"/>
    <mergeCell ref="B42:E42"/>
    <mergeCell ref="F27:H27"/>
    <mergeCell ref="F83:H84"/>
    <mergeCell ref="C28:E28"/>
    <mergeCell ref="C29:E29"/>
    <mergeCell ref="F26:H26"/>
    <mergeCell ref="F77:H77"/>
    <mergeCell ref="J62:J63"/>
    <mergeCell ref="I62:I63"/>
    <mergeCell ref="F67:H67"/>
    <mergeCell ref="F62:H63"/>
    <mergeCell ref="F66:H66"/>
    <mergeCell ref="J37:J38"/>
    <mergeCell ref="I37:I38"/>
    <mergeCell ref="I39:I48"/>
    <mergeCell ref="F47:H47"/>
    <mergeCell ref="F43:H43"/>
    <mergeCell ref="F41:H41"/>
    <mergeCell ref="F42:H42"/>
    <mergeCell ref="F37:H38"/>
    <mergeCell ref="F40:H40"/>
    <mergeCell ref="F44:H44"/>
    <mergeCell ref="F65:H65"/>
    <mergeCell ref="F64:H64"/>
    <mergeCell ref="I64:I68"/>
    <mergeCell ref="G1:J3"/>
    <mergeCell ref="C7:E8"/>
    <mergeCell ref="F7:H8"/>
    <mergeCell ref="C13:E13"/>
    <mergeCell ref="F31:H31"/>
    <mergeCell ref="F30:H30"/>
    <mergeCell ref="F22:H22"/>
    <mergeCell ref="C20:J20"/>
    <mergeCell ref="C25:E25"/>
    <mergeCell ref="J16:J17"/>
    <mergeCell ref="C16:E16"/>
    <mergeCell ref="I7:J7"/>
    <mergeCell ref="F11:H11"/>
    <mergeCell ref="C11:E12"/>
    <mergeCell ref="F12:H12"/>
    <mergeCell ref="I16:I17"/>
    <mergeCell ref="F23:H23"/>
    <mergeCell ref="F15:H15"/>
    <mergeCell ref="F13:H13"/>
    <mergeCell ref="F14:H14"/>
    <mergeCell ref="C23:E23"/>
    <mergeCell ref="F18:H18"/>
    <mergeCell ref="F19:H19"/>
    <mergeCell ref="C31:E31"/>
    <mergeCell ref="F9:H10"/>
    <mergeCell ref="C18:E18"/>
    <mergeCell ref="C27:E27"/>
    <mergeCell ref="C15:E15"/>
    <mergeCell ref="C22:E22"/>
    <mergeCell ref="C9:E9"/>
    <mergeCell ref="B13:B20"/>
    <mergeCell ref="C21:E21"/>
    <mergeCell ref="B46:E46"/>
    <mergeCell ref="C17:E17"/>
    <mergeCell ref="B21:B24"/>
    <mergeCell ref="C26:E26"/>
    <mergeCell ref="B44:E44"/>
    <mergeCell ref="C30:E30"/>
    <mergeCell ref="B37:E38"/>
    <mergeCell ref="B41:E41"/>
    <mergeCell ref="C19:E19"/>
    <mergeCell ref="C10:E10"/>
    <mergeCell ref="F29:H29"/>
    <mergeCell ref="F45:H45"/>
    <mergeCell ref="C14:E14"/>
    <mergeCell ref="F16:H17"/>
    <mergeCell ref="F21:H21"/>
    <mergeCell ref="F25:H25"/>
  </mergeCells>
  <pageMargins left="0.7" right="0.7" top="0.75" bottom="0.75" header="0.3" footer="0.3"/>
  <pageSetup paperSize="256" orientation="landscape" r:id="rId1"/>
  <ignoredErrors>
    <ignoredError sqref="F11 I94:I95" formula="1"/>
  </ignoredError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X70"/>
  <sheetViews>
    <sheetView zoomScaleNormal="100" workbookViewId="0">
      <pane ySplit="4" topLeftCell="A5" activePane="bottomLeft" state="frozen"/>
      <selection pane="bottomLeft"/>
    </sheetView>
  </sheetViews>
  <sheetFormatPr defaultColWidth="9.140625" defaultRowHeight="15"/>
  <cols>
    <col min="1" max="2" width="2.85546875" style="289" customWidth="1"/>
    <col min="3" max="3" width="15.7109375" style="289" customWidth="1"/>
    <col min="4" max="4" width="23.5703125" style="289" customWidth="1"/>
    <col min="5" max="5" width="21.42578125" style="289" customWidth="1"/>
    <col min="6" max="17" width="10.7109375" style="289" customWidth="1"/>
    <col min="18" max="18" width="22.85546875" style="289" customWidth="1"/>
    <col min="19" max="19" width="14.28515625" style="289" customWidth="1"/>
    <col min="20" max="16384" width="9.140625" style="289"/>
  </cols>
  <sheetData>
    <row r="1" spans="1:24" ht="12.75" customHeight="1">
      <c r="A1" s="289" t="s">
        <v>178</v>
      </c>
      <c r="F1" s="290"/>
      <c r="G1" s="290"/>
      <c r="J1" s="290"/>
      <c r="K1" s="290"/>
      <c r="L1" s="290"/>
      <c r="M1" s="726" t="str">
        <f>IF('Język - Language'!$B$30="Polski",CONCATENATE("Cennik Reklamowy Wirtualna Polska Media S.A. - obowiązuje od 1.11.2019 r.",CHAR(10),"W celu zasięgnięcia dodatkowych informacji prosimy o kontakt z Biurem Reklamy,",CHAR(10),"reklama@grupawp.pl, tel. (+48) 22 57 63 900; fax (+48) 22 57 63 959"),CONCATENATE("Advertising price list of Wirtualna Polska Media S.A. - valid from November 1, 2019",CHAR(10),"For further information please contact the Advertising Office of WP,",CHAR(10),"reklama@grupawp.pl, phone (+48) 22 57 63 900; fax (+48) 22 57 63 959"))</f>
        <v>Cennik Reklamowy Wirtualna Polska Media S.A. - obowiązuje od 1.11.2019 r.
W celu zasięgnięcia dodatkowych informacji prosimy o kontakt z Biurem Reklamy,
reklama@grupawp.pl, tel. (+48) 22 57 63 900; fax (+48) 22 57 63 959</v>
      </c>
      <c r="N1" s="726"/>
      <c r="O1" s="726"/>
      <c r="P1" s="726"/>
      <c r="Q1" s="726"/>
      <c r="R1" s="726"/>
    </row>
    <row r="2" spans="1:24" ht="12.75" customHeight="1">
      <c r="E2" s="290"/>
      <c r="F2" s="290"/>
      <c r="G2" s="290"/>
      <c r="H2" s="290"/>
      <c r="I2" s="290"/>
      <c r="J2" s="290"/>
      <c r="K2" s="290"/>
      <c r="L2" s="290"/>
      <c r="M2" s="726"/>
      <c r="N2" s="726"/>
      <c r="O2" s="726"/>
      <c r="P2" s="726"/>
      <c r="Q2" s="726"/>
      <c r="R2" s="726"/>
    </row>
    <row r="3" spans="1:24" ht="12.75" customHeight="1">
      <c r="E3" s="290"/>
      <c r="F3" s="290"/>
      <c r="G3" s="290"/>
      <c r="H3" s="290"/>
      <c r="I3" s="290"/>
      <c r="J3" s="290"/>
      <c r="K3" s="290"/>
      <c r="L3" s="290"/>
      <c r="M3" s="726"/>
      <c r="N3" s="726"/>
      <c r="O3" s="726"/>
      <c r="P3" s="726"/>
      <c r="Q3" s="726"/>
      <c r="R3" s="726"/>
    </row>
    <row r="4" spans="1:24" s="300" customFormat="1" ht="12.75" customHeight="1">
      <c r="C4" s="301" t="str">
        <f>IF('Język - Language'!$B$30="Polski","            Reklama mobilna","            Mobile Advertising")</f>
        <v xml:space="preserve">            Reklama mobilna</v>
      </c>
      <c r="D4" s="301"/>
      <c r="R4" s="285" t="str">
        <f>IF('Język - Language'!$B$30="Polski","PL","EN")</f>
        <v>PL</v>
      </c>
    </row>
    <row r="5" spans="1:24" ht="12.75" customHeight="1"/>
    <row r="6" spans="1:24" ht="12.75" customHeight="1"/>
    <row r="7" spans="1:24" ht="12.75" customHeight="1">
      <c r="C7" s="308" t="str">
        <f>IF('Język - Language'!$B$30="Polski","DNIÓWKI","DAILY EMISSION")</f>
        <v>DNIÓWKI</v>
      </c>
    </row>
    <row r="8" spans="1:24" ht="12.75" customHeight="1">
      <c r="C8" s="904" t="str">
        <f>IF('Język - Language'!$B$30="Polski","MIEJSCE EMISJI","PLACE OF EMISSION")</f>
        <v>MIEJSCE EMISJI</v>
      </c>
      <c r="D8" s="904"/>
      <c r="E8" s="870" t="s">
        <v>207</v>
      </c>
      <c r="F8" s="870" t="s">
        <v>212</v>
      </c>
      <c r="G8" s="870"/>
      <c r="H8" s="870" t="s">
        <v>212</v>
      </c>
      <c r="I8" s="870"/>
      <c r="J8" s="870" t="s">
        <v>257</v>
      </c>
      <c r="K8" s="870"/>
      <c r="L8" s="870" t="s">
        <v>265</v>
      </c>
      <c r="M8" s="870"/>
      <c r="N8" s="872" t="s">
        <v>208</v>
      </c>
      <c r="O8" s="872"/>
      <c r="P8" s="875" t="s">
        <v>208</v>
      </c>
      <c r="Q8" s="875"/>
      <c r="R8" s="507" t="s">
        <v>205</v>
      </c>
      <c r="S8" s="385"/>
      <c r="T8" s="385"/>
      <c r="U8" s="385"/>
    </row>
    <row r="9" spans="1:24" ht="12.75" customHeight="1">
      <c r="C9" s="904"/>
      <c r="D9" s="904"/>
      <c r="E9" s="870"/>
      <c r="F9" s="871" t="s">
        <v>203</v>
      </c>
      <c r="G9" s="871"/>
      <c r="H9" s="871" t="s">
        <v>204</v>
      </c>
      <c r="I9" s="871"/>
      <c r="J9" s="871" t="s">
        <v>263</v>
      </c>
      <c r="K9" s="871"/>
      <c r="L9" s="871" t="s">
        <v>263</v>
      </c>
      <c r="M9" s="871"/>
      <c r="N9" s="922" t="s">
        <v>209</v>
      </c>
      <c r="O9" s="922"/>
      <c r="P9" s="923" t="s">
        <v>210</v>
      </c>
      <c r="Q9" s="923"/>
      <c r="R9" s="511" t="s">
        <v>206</v>
      </c>
      <c r="S9" s="385"/>
      <c r="T9" s="385"/>
      <c r="U9" s="385"/>
    </row>
    <row r="10" spans="1:24" ht="12.75" customHeight="1">
      <c r="C10" s="904"/>
      <c r="D10" s="904"/>
      <c r="E10" s="492" t="s">
        <v>197</v>
      </c>
      <c r="F10" s="870" t="s">
        <v>202</v>
      </c>
      <c r="G10" s="870"/>
      <c r="H10" s="870" t="s">
        <v>196</v>
      </c>
      <c r="I10" s="870"/>
      <c r="J10" s="870" t="s">
        <v>264</v>
      </c>
      <c r="K10" s="870"/>
      <c r="L10" s="870" t="s">
        <v>264</v>
      </c>
      <c r="M10" s="870"/>
      <c r="N10" s="875" t="s">
        <v>202</v>
      </c>
      <c r="O10" s="875"/>
      <c r="P10" s="875" t="s">
        <v>196</v>
      </c>
      <c r="Q10" s="876"/>
      <c r="R10" s="498" t="s">
        <v>177</v>
      </c>
      <c r="S10" s="386"/>
      <c r="T10" s="386"/>
      <c r="U10" s="386"/>
    </row>
    <row r="11" spans="1:24" ht="12.75" customHeight="1">
      <c r="B11" s="302"/>
      <c r="C11" s="898" t="str">
        <f>'Desktop Flat Fee'!C9</f>
        <v>WP SG</v>
      </c>
      <c r="D11" s="384" t="str">
        <f>IF('Język - Language'!$B$30="Polski","styczeń-wrzesień","Jan-Sep")</f>
        <v>styczeń-wrzesień</v>
      </c>
      <c r="E11" s="500">
        <v>200000</v>
      </c>
      <c r="F11" s="868">
        <v>180000</v>
      </c>
      <c r="G11" s="869"/>
      <c r="H11" s="868">
        <v>80000</v>
      </c>
      <c r="I11" s="869"/>
      <c r="J11" s="868" t="s">
        <v>58</v>
      </c>
      <c r="K11" s="869"/>
      <c r="L11" s="868" t="s">
        <v>58</v>
      </c>
      <c r="M11" s="869"/>
      <c r="N11" s="868" t="s">
        <v>58</v>
      </c>
      <c r="O11" s="869"/>
      <c r="P11" s="868" t="s">
        <v>58</v>
      </c>
      <c r="Q11" s="869"/>
      <c r="R11" s="500">
        <v>180000</v>
      </c>
      <c r="S11" s="429"/>
      <c r="T11" s="429"/>
      <c r="U11" s="429"/>
    </row>
    <row r="12" spans="1:24" ht="12.75" customHeight="1">
      <c r="B12" s="16"/>
      <c r="C12" s="894"/>
      <c r="D12" s="327" t="str">
        <f>IF('Język - Language'!$B$30="Polski","październik-grudzień","Oct-Dec")</f>
        <v>październik-grudzień</v>
      </c>
      <c r="E12" s="506">
        <v>230000</v>
      </c>
      <c r="F12" s="862">
        <v>210000</v>
      </c>
      <c r="G12" s="863"/>
      <c r="H12" s="862">
        <v>110000</v>
      </c>
      <c r="I12" s="863"/>
      <c r="J12" s="862"/>
      <c r="K12" s="863"/>
      <c r="L12" s="862"/>
      <c r="M12" s="863"/>
      <c r="N12" s="862"/>
      <c r="O12" s="863"/>
      <c r="P12" s="862"/>
      <c r="Q12" s="863"/>
      <c r="R12" s="506">
        <v>220000</v>
      </c>
      <c r="S12" s="391"/>
      <c r="T12" s="391"/>
      <c r="U12" s="391"/>
    </row>
    <row r="13" spans="1:24" ht="25.5" customHeight="1">
      <c r="B13" s="302"/>
      <c r="C13" s="894" t="s">
        <v>30</v>
      </c>
      <c r="D13" s="895"/>
      <c r="E13" s="496">
        <v>120000</v>
      </c>
      <c r="F13" s="864" t="s">
        <v>58</v>
      </c>
      <c r="G13" s="865"/>
      <c r="H13" s="864" t="s">
        <v>58</v>
      </c>
      <c r="I13" s="865"/>
      <c r="J13" s="864" t="s">
        <v>58</v>
      </c>
      <c r="K13" s="865"/>
      <c r="L13" s="864" t="s">
        <v>58</v>
      </c>
      <c r="M13" s="865"/>
      <c r="N13" s="864">
        <v>70000</v>
      </c>
      <c r="O13" s="865"/>
      <c r="P13" s="864">
        <v>40000</v>
      </c>
      <c r="Q13" s="865"/>
      <c r="R13" s="503">
        <v>150000</v>
      </c>
      <c r="S13" s="502"/>
      <c r="T13" s="889"/>
      <c r="U13" s="889"/>
      <c r="V13" s="889"/>
      <c r="W13" s="889"/>
    </row>
    <row r="14" spans="1:24" ht="25.5" customHeight="1">
      <c r="B14" s="302"/>
      <c r="C14" s="896" t="s">
        <v>273</v>
      </c>
      <c r="D14" s="897"/>
      <c r="E14" s="499">
        <v>48000</v>
      </c>
      <c r="F14" s="864" t="s">
        <v>58</v>
      </c>
      <c r="G14" s="865"/>
      <c r="H14" s="864" t="s">
        <v>58</v>
      </c>
      <c r="I14" s="865"/>
      <c r="J14" s="864" t="s">
        <v>58</v>
      </c>
      <c r="K14" s="865"/>
      <c r="L14" s="864" t="s">
        <v>58</v>
      </c>
      <c r="M14" s="865"/>
      <c r="N14" s="864" t="s">
        <v>58</v>
      </c>
      <c r="O14" s="865"/>
      <c r="P14" s="864" t="s">
        <v>58</v>
      </c>
      <c r="Q14" s="865"/>
      <c r="R14" s="505">
        <v>85000</v>
      </c>
      <c r="S14" s="502"/>
      <c r="T14" s="889"/>
      <c r="U14" s="889"/>
      <c r="V14" s="889"/>
      <c r="W14" s="889"/>
    </row>
    <row r="15" spans="1:24" ht="12.75" customHeight="1">
      <c r="B15" s="302"/>
      <c r="C15" s="898" t="s">
        <v>39</v>
      </c>
      <c r="D15" s="384" t="str">
        <f>IF('Język - Language'!$B$30="Polski","styczeń-wrzesień","Jan-Sep")</f>
        <v>styczeń-wrzesień</v>
      </c>
      <c r="E15" s="892">
        <v>120000</v>
      </c>
      <c r="F15" s="860" t="s">
        <v>58</v>
      </c>
      <c r="G15" s="861"/>
      <c r="H15" s="860" t="s">
        <v>58</v>
      </c>
      <c r="I15" s="861"/>
      <c r="J15" s="860" t="s">
        <v>58</v>
      </c>
      <c r="K15" s="861"/>
      <c r="L15" s="860" t="s">
        <v>58</v>
      </c>
      <c r="M15" s="861"/>
      <c r="N15" s="860">
        <v>80000</v>
      </c>
      <c r="O15" s="861"/>
      <c r="P15" s="860">
        <v>40000</v>
      </c>
      <c r="Q15" s="861"/>
      <c r="R15" s="892">
        <v>185000</v>
      </c>
      <c r="S15" s="502"/>
      <c r="T15" s="889"/>
      <c r="U15" s="889"/>
      <c r="V15" s="889"/>
      <c r="W15" s="889"/>
      <c r="X15" s="16"/>
    </row>
    <row r="16" spans="1:24" ht="12.75" customHeight="1">
      <c r="B16" s="302"/>
      <c r="C16" s="894"/>
      <c r="D16" s="327" t="str">
        <f>IF('Język - Language'!$B$30="Polski","październik-grudzień","Oct-Dec")</f>
        <v>październik-grudzień</v>
      </c>
      <c r="E16" s="893"/>
      <c r="F16" s="862"/>
      <c r="G16" s="863"/>
      <c r="H16" s="862"/>
      <c r="I16" s="863"/>
      <c r="J16" s="862"/>
      <c r="K16" s="863"/>
      <c r="L16" s="862"/>
      <c r="M16" s="863"/>
      <c r="N16" s="862">
        <v>100000</v>
      </c>
      <c r="O16" s="863"/>
      <c r="P16" s="862">
        <v>50000</v>
      </c>
      <c r="Q16" s="863"/>
      <c r="R16" s="893"/>
      <c r="S16" s="502"/>
      <c r="T16" s="502"/>
      <c r="U16" s="502"/>
      <c r="V16" s="502"/>
      <c r="W16" s="502"/>
      <c r="X16" s="16"/>
    </row>
    <row r="17" spans="2:23" ht="25.5" customHeight="1">
      <c r="B17" s="302"/>
      <c r="C17" s="894" t="s">
        <v>44</v>
      </c>
      <c r="D17" s="895"/>
      <c r="E17" s="499">
        <v>35000</v>
      </c>
      <c r="F17" s="864" t="s">
        <v>58</v>
      </c>
      <c r="G17" s="865"/>
      <c r="H17" s="864" t="s">
        <v>58</v>
      </c>
      <c r="I17" s="865"/>
      <c r="J17" s="864" t="s">
        <v>58</v>
      </c>
      <c r="K17" s="865"/>
      <c r="L17" s="864" t="s">
        <v>58</v>
      </c>
      <c r="M17" s="865"/>
      <c r="N17" s="864" t="s">
        <v>58</v>
      </c>
      <c r="O17" s="865"/>
      <c r="P17" s="864" t="s">
        <v>58</v>
      </c>
      <c r="Q17" s="865"/>
      <c r="R17" s="503" t="s">
        <v>58</v>
      </c>
      <c r="S17" s="502"/>
      <c r="T17" s="889"/>
      <c r="U17" s="889"/>
      <c r="V17" s="889"/>
      <c r="W17" s="889"/>
    </row>
    <row r="18" spans="2:23" s="524" customFormat="1" ht="25.5" customHeight="1">
      <c r="B18" s="302"/>
      <c r="C18" s="896" t="s">
        <v>261</v>
      </c>
      <c r="D18" s="897"/>
      <c r="E18" s="660">
        <v>50000</v>
      </c>
      <c r="F18" s="864" t="s">
        <v>58</v>
      </c>
      <c r="G18" s="865"/>
      <c r="H18" s="864" t="s">
        <v>58</v>
      </c>
      <c r="I18" s="865"/>
      <c r="J18" s="864">
        <v>65000</v>
      </c>
      <c r="K18" s="865"/>
      <c r="L18" s="864">
        <v>85000</v>
      </c>
      <c r="M18" s="865"/>
      <c r="N18" s="864" t="s">
        <v>58</v>
      </c>
      <c r="O18" s="865"/>
      <c r="P18" s="864" t="s">
        <v>58</v>
      </c>
      <c r="Q18" s="865"/>
      <c r="R18" s="505" t="s">
        <v>58</v>
      </c>
      <c r="S18" s="658"/>
      <c r="T18" s="658"/>
      <c r="U18" s="658"/>
      <c r="V18" s="658"/>
      <c r="W18" s="658"/>
    </row>
    <row r="19" spans="2:23" s="524" customFormat="1" ht="25.5" customHeight="1">
      <c r="B19" s="302"/>
      <c r="C19" s="896" t="s">
        <v>262</v>
      </c>
      <c r="D19" s="897"/>
      <c r="E19" s="660">
        <v>75000</v>
      </c>
      <c r="F19" s="864" t="s">
        <v>58</v>
      </c>
      <c r="G19" s="865"/>
      <c r="H19" s="864" t="s">
        <v>58</v>
      </c>
      <c r="I19" s="865"/>
      <c r="J19" s="864" t="s">
        <v>58</v>
      </c>
      <c r="K19" s="865"/>
      <c r="L19" s="864" t="s">
        <v>58</v>
      </c>
      <c r="M19" s="865"/>
      <c r="N19" s="864" t="s">
        <v>58</v>
      </c>
      <c r="O19" s="865"/>
      <c r="P19" s="864" t="s">
        <v>58</v>
      </c>
      <c r="Q19" s="865"/>
      <c r="R19" s="505" t="s">
        <v>58</v>
      </c>
      <c r="S19" s="658"/>
      <c r="T19" s="658"/>
      <c r="U19" s="658"/>
      <c r="V19" s="658"/>
      <c r="W19" s="658"/>
    </row>
    <row r="20" spans="2:23" ht="25.5" customHeight="1">
      <c r="B20" s="302"/>
      <c r="C20" s="890" t="s">
        <v>129</v>
      </c>
      <c r="D20" s="891"/>
      <c r="E20" s="497">
        <v>165000</v>
      </c>
      <c r="F20" s="866" t="s">
        <v>58</v>
      </c>
      <c r="G20" s="867"/>
      <c r="H20" s="866" t="s">
        <v>58</v>
      </c>
      <c r="I20" s="867"/>
      <c r="J20" s="866" t="s">
        <v>58</v>
      </c>
      <c r="K20" s="867"/>
      <c r="L20" s="866" t="s">
        <v>58</v>
      </c>
      <c r="M20" s="867"/>
      <c r="N20" s="866" t="s">
        <v>58</v>
      </c>
      <c r="O20" s="867"/>
      <c r="P20" s="866" t="s">
        <v>58</v>
      </c>
      <c r="Q20" s="867"/>
      <c r="R20" s="501">
        <v>314000</v>
      </c>
      <c r="S20" s="395"/>
      <c r="T20" s="502"/>
      <c r="U20" s="502"/>
    </row>
    <row r="21" spans="2:23" ht="12.75" customHeight="1">
      <c r="B21" s="16"/>
      <c r="C21" s="293" t="s">
        <v>240</v>
      </c>
      <c r="D21" s="295"/>
      <c r="E21" s="396"/>
      <c r="F21" s="396"/>
      <c r="G21" s="396"/>
      <c r="H21" s="396"/>
      <c r="I21" s="396"/>
      <c r="J21" s="396"/>
      <c r="K21" s="510"/>
      <c r="L21" s="502"/>
      <c r="M21" s="510"/>
      <c r="N21" s="391"/>
      <c r="O21" s="391"/>
      <c r="P21" s="391"/>
      <c r="Q21" s="391"/>
    </row>
    <row r="22" spans="2:23" ht="12.75" customHeight="1">
      <c r="B22" s="16"/>
      <c r="C22" s="293" t="s">
        <v>241</v>
      </c>
      <c r="D22" s="295"/>
      <c r="E22" s="439"/>
      <c r="F22" s="439"/>
      <c r="G22" s="510"/>
      <c r="H22" s="439"/>
      <c r="I22" s="510"/>
      <c r="J22" s="439"/>
      <c r="K22" s="510"/>
      <c r="L22" s="439"/>
      <c r="M22" s="510"/>
      <c r="N22" s="391"/>
      <c r="O22" s="391"/>
      <c r="P22" s="391"/>
      <c r="Q22" s="391"/>
    </row>
    <row r="23" spans="2:23" ht="12.75" customHeight="1">
      <c r="B23" s="16"/>
      <c r="C23" s="293" t="s">
        <v>201</v>
      </c>
      <c r="D23" s="295"/>
      <c r="E23" s="494"/>
      <c r="F23" s="494"/>
      <c r="G23" s="510"/>
      <c r="H23" s="494"/>
      <c r="I23" s="510"/>
      <c r="J23" s="494"/>
      <c r="K23" s="510"/>
      <c r="L23" s="494"/>
      <c r="M23" s="510"/>
      <c r="N23" s="391"/>
      <c r="O23" s="391"/>
      <c r="P23" s="391"/>
      <c r="Q23" s="391"/>
    </row>
    <row r="24" spans="2:23" ht="12.75" customHeight="1">
      <c r="B24" s="16"/>
      <c r="C24" s="293" t="s">
        <v>242</v>
      </c>
      <c r="D24" s="295"/>
      <c r="E24" s="502"/>
      <c r="F24" s="502"/>
      <c r="G24" s="510"/>
      <c r="H24" s="502"/>
      <c r="I24" s="510"/>
      <c r="J24" s="502"/>
      <c r="K24" s="510"/>
      <c r="L24" s="502"/>
      <c r="M24" s="510"/>
      <c r="N24" s="391"/>
      <c r="O24" s="391"/>
      <c r="P24" s="391"/>
      <c r="Q24" s="391"/>
    </row>
    <row r="25" spans="2:23" ht="12.75" customHeight="1">
      <c r="B25" s="16"/>
      <c r="C25" s="293"/>
      <c r="D25" s="295"/>
      <c r="E25" s="439"/>
      <c r="F25" s="439"/>
      <c r="G25" s="510"/>
      <c r="H25" s="439"/>
      <c r="I25" s="510"/>
      <c r="J25" s="439"/>
      <c r="K25" s="510"/>
      <c r="L25" s="439"/>
      <c r="M25" s="510"/>
      <c r="N25" s="391"/>
      <c r="O25" s="391"/>
      <c r="P25" s="391"/>
      <c r="Q25" s="391"/>
    </row>
    <row r="26" spans="2:23" ht="12.75" customHeight="1">
      <c r="B26" s="16"/>
      <c r="C26" s="307"/>
      <c r="D26" s="295"/>
      <c r="E26" s="424"/>
      <c r="F26" s="424"/>
      <c r="G26" s="510"/>
      <c r="H26" s="424"/>
      <c r="I26" s="510"/>
      <c r="J26" s="424"/>
      <c r="K26" s="510"/>
      <c r="L26" s="424"/>
      <c r="M26" s="510"/>
      <c r="N26" s="391"/>
      <c r="O26" s="391"/>
      <c r="P26" s="391"/>
      <c r="Q26" s="391"/>
    </row>
    <row r="27" spans="2:23" ht="12.75" customHeight="1">
      <c r="B27" s="16"/>
      <c r="C27" s="307" t="s">
        <v>170</v>
      </c>
      <c r="D27" s="295"/>
      <c r="E27" s="424"/>
      <c r="F27" s="424"/>
      <c r="G27" s="510"/>
      <c r="H27" s="424"/>
      <c r="I27" s="510"/>
      <c r="J27" s="424"/>
      <c r="K27" s="510"/>
      <c r="L27" s="424"/>
      <c r="M27" s="510"/>
      <c r="N27" s="391"/>
      <c r="O27" s="391"/>
      <c r="P27" s="391"/>
      <c r="Q27" s="391"/>
    </row>
    <row r="28" spans="2:23" ht="25.5" customHeight="1">
      <c r="C28" s="904" t="str">
        <f>IF('Język - Language'!$B$30="Polski","MIEJSCE EMISJI","PLACE OF EMISSION")</f>
        <v>MIEJSCE EMISJI</v>
      </c>
      <c r="D28" s="904"/>
      <c r="E28" s="872" t="s">
        <v>172</v>
      </c>
      <c r="F28" s="872"/>
      <c r="G28" s="873"/>
      <c r="H28" s="391"/>
      <c r="I28" s="391"/>
      <c r="J28" s="391"/>
      <c r="K28" s="385"/>
      <c r="L28" s="385"/>
      <c r="M28" s="385"/>
      <c r="N28" s="385"/>
    </row>
    <row r="29" spans="2:23" ht="12.75" customHeight="1">
      <c r="C29" s="904"/>
      <c r="D29" s="904"/>
      <c r="E29" s="664" t="s">
        <v>198</v>
      </c>
      <c r="F29" s="872" t="s">
        <v>199</v>
      </c>
      <c r="G29" s="873"/>
      <c r="H29" s="391"/>
      <c r="I29" s="391"/>
      <c r="J29" s="391"/>
      <c r="K29" s="386"/>
      <c r="L29" s="386"/>
      <c r="M29" s="386"/>
      <c r="N29" s="386"/>
    </row>
    <row r="30" spans="2:23" ht="12.75" customHeight="1">
      <c r="B30" s="302"/>
      <c r="C30" s="898" t="s">
        <v>29</v>
      </c>
      <c r="D30" s="384" t="s">
        <v>171</v>
      </c>
      <c r="E30" s="662">
        <v>4000</v>
      </c>
      <c r="F30" s="874">
        <v>24000</v>
      </c>
      <c r="G30" s="869"/>
      <c r="H30" s="298"/>
      <c r="I30" s="424"/>
      <c r="J30" s="510"/>
      <c r="K30" s="886"/>
      <c r="L30" s="886"/>
      <c r="M30" s="886"/>
      <c r="N30" s="886"/>
    </row>
    <row r="31" spans="2:23" ht="12.75" customHeight="1">
      <c r="B31" s="16"/>
      <c r="C31" s="898"/>
      <c r="D31" s="384" t="s">
        <v>48</v>
      </c>
      <c r="E31" s="662">
        <v>2500</v>
      </c>
      <c r="F31" s="874">
        <v>15000</v>
      </c>
      <c r="G31" s="869"/>
      <c r="H31" s="298"/>
      <c r="I31" s="424"/>
      <c r="J31" s="510"/>
      <c r="K31" s="391"/>
      <c r="L31" s="391"/>
      <c r="M31" s="391"/>
      <c r="N31" s="391"/>
    </row>
    <row r="32" spans="2:23" ht="12.75" customHeight="1">
      <c r="B32" s="16"/>
      <c r="C32" s="898"/>
      <c r="D32" s="384" t="s">
        <v>173</v>
      </c>
      <c r="E32" s="662">
        <v>2500</v>
      </c>
      <c r="F32" s="874">
        <v>15000</v>
      </c>
      <c r="G32" s="869"/>
      <c r="H32" s="298"/>
      <c r="I32" s="424"/>
      <c r="J32" s="510"/>
      <c r="K32" s="391"/>
      <c r="L32" s="391"/>
      <c r="M32" s="391"/>
      <c r="N32" s="391"/>
    </row>
    <row r="33" spans="2:17" ht="12.75" customHeight="1">
      <c r="B33" s="16"/>
      <c r="C33" s="898"/>
      <c r="D33" s="384" t="s">
        <v>174</v>
      </c>
      <c r="E33" s="662">
        <v>1500</v>
      </c>
      <c r="F33" s="874">
        <v>9000</v>
      </c>
      <c r="G33" s="869"/>
      <c r="H33" s="298"/>
      <c r="I33" s="424"/>
      <c r="J33" s="510"/>
      <c r="K33" s="391"/>
      <c r="L33" s="391"/>
      <c r="M33" s="391"/>
      <c r="N33" s="391"/>
    </row>
    <row r="34" spans="2:17" ht="12.75" customHeight="1">
      <c r="B34" s="16"/>
      <c r="C34" s="898"/>
      <c r="D34" s="384" t="s">
        <v>175</v>
      </c>
      <c r="E34" s="662">
        <v>1500</v>
      </c>
      <c r="F34" s="874">
        <v>9000</v>
      </c>
      <c r="G34" s="869"/>
      <c r="H34" s="298"/>
      <c r="I34" s="424"/>
      <c r="J34" s="510"/>
      <c r="K34" s="391"/>
      <c r="L34" s="391"/>
      <c r="M34" s="391"/>
      <c r="N34" s="391"/>
    </row>
    <row r="35" spans="2:17" ht="12.75" customHeight="1">
      <c r="B35" s="16"/>
      <c r="C35" s="890"/>
      <c r="D35" s="326" t="s">
        <v>176</v>
      </c>
      <c r="E35" s="663">
        <v>1500</v>
      </c>
      <c r="F35" s="884">
        <v>9000</v>
      </c>
      <c r="G35" s="885"/>
      <c r="H35" s="508"/>
      <c r="I35" s="510"/>
      <c r="J35" s="510"/>
      <c r="K35" s="391"/>
      <c r="L35" s="391"/>
      <c r="M35" s="391"/>
      <c r="N35" s="391"/>
    </row>
    <row r="36" spans="2:17" ht="15" customHeight="1">
      <c r="B36" s="16"/>
      <c r="C36" s="307"/>
      <c r="D36" s="295"/>
      <c r="E36" s="424"/>
      <c r="F36" s="424"/>
      <c r="G36" s="510"/>
      <c r="H36" s="424"/>
      <c r="I36" s="510"/>
      <c r="J36" s="424"/>
      <c r="K36" s="510"/>
      <c r="L36" s="424"/>
      <c r="M36" s="510"/>
      <c r="N36" s="391"/>
      <c r="O36" s="391"/>
      <c r="P36" s="391"/>
      <c r="Q36" s="391"/>
    </row>
    <row r="37" spans="2:17" ht="15" customHeight="1">
      <c r="B37" s="16"/>
      <c r="C37" s="307"/>
      <c r="D37" s="295"/>
      <c r="E37" s="430"/>
      <c r="F37" s="430"/>
      <c r="G37" s="510"/>
      <c r="H37" s="430"/>
      <c r="I37" s="510"/>
      <c r="J37" s="430"/>
      <c r="K37" s="510"/>
      <c r="L37" s="430"/>
      <c r="M37" s="510"/>
      <c r="N37" s="391"/>
      <c r="O37" s="391"/>
      <c r="P37" s="391"/>
      <c r="Q37" s="391"/>
    </row>
    <row r="38" spans="2:17" ht="12.75" customHeight="1">
      <c r="B38" s="16"/>
      <c r="C38" s="307" t="str">
        <f>IF('Język - Language'!$B$30="Polski","REKLAMA ODSŁONOWA (vCPM)","vCPM ADVERTISING")</f>
        <v>REKLAMA ODSŁONOWA (vCPM)</v>
      </c>
      <c r="D38" s="295"/>
      <c r="E38" s="430"/>
      <c r="F38" s="430"/>
      <c r="G38" s="510"/>
      <c r="H38" s="430"/>
      <c r="I38" s="510"/>
      <c r="J38" s="430"/>
      <c r="K38" s="510"/>
      <c r="L38" s="430"/>
      <c r="M38" s="510"/>
      <c r="N38" s="391"/>
      <c r="O38" s="391"/>
      <c r="P38" s="391"/>
      <c r="Q38" s="391"/>
    </row>
    <row r="39" spans="2:17" ht="25.5" customHeight="1">
      <c r="B39" s="16"/>
      <c r="C39" s="912" t="s">
        <v>128</v>
      </c>
      <c r="D39" s="912"/>
      <c r="E39" s="912"/>
      <c r="F39" s="870" t="s">
        <v>257</v>
      </c>
      <c r="G39" s="870"/>
      <c r="H39" s="875" t="s">
        <v>179</v>
      </c>
      <c r="I39" s="875"/>
      <c r="J39" s="875" t="s">
        <v>194</v>
      </c>
      <c r="K39" s="876"/>
      <c r="L39" s="514"/>
    </row>
    <row r="40" spans="2:17" ht="25.5" customHeight="1">
      <c r="B40" s="16"/>
      <c r="C40" s="912"/>
      <c r="D40" s="912"/>
      <c r="E40" s="912"/>
      <c r="F40" s="880" t="str">
        <f>'Serwisy &amp; Pakiety'!F28</f>
        <v>rozliczenie za widzialne odsłony wg standardu IAB, po statystykach wewnętrznych WPM¹</v>
      </c>
      <c r="G40" s="880"/>
      <c r="H40" s="880"/>
      <c r="I40" s="880"/>
      <c r="J40" s="880"/>
      <c r="K40" s="881"/>
      <c r="L40" s="385"/>
    </row>
    <row r="41" spans="2:17" ht="12.75" customHeight="1">
      <c r="B41" s="16"/>
      <c r="C41" s="912"/>
      <c r="D41" s="912"/>
      <c r="E41" s="912"/>
      <c r="F41" s="875" t="s">
        <v>141</v>
      </c>
      <c r="G41" s="875"/>
      <c r="H41" s="875"/>
      <c r="I41" s="875"/>
      <c r="J41" s="875"/>
      <c r="K41" s="876"/>
      <c r="L41" s="514"/>
    </row>
    <row r="42" spans="2:17" ht="25.5" customHeight="1">
      <c r="B42" s="302"/>
      <c r="C42" s="491" t="s">
        <v>29</v>
      </c>
      <c r="D42" s="905" t="s">
        <v>180</v>
      </c>
      <c r="E42" s="906"/>
      <c r="F42" s="862" t="s">
        <v>111</v>
      </c>
      <c r="G42" s="921"/>
      <c r="H42" s="902" t="s">
        <v>260</v>
      </c>
      <c r="I42" s="903"/>
      <c r="J42" s="862" t="s">
        <v>111</v>
      </c>
      <c r="K42" s="863"/>
      <c r="L42" s="512"/>
    </row>
    <row r="43" spans="2:17" ht="25.5" customHeight="1">
      <c r="B43" s="16"/>
      <c r="C43" s="659" t="s">
        <v>191</v>
      </c>
      <c r="D43" s="917" t="s">
        <v>192</v>
      </c>
      <c r="E43" s="918"/>
      <c r="F43" s="864" t="s">
        <v>111</v>
      </c>
      <c r="G43" s="877"/>
      <c r="H43" s="864" t="s">
        <v>111</v>
      </c>
      <c r="I43" s="877"/>
      <c r="J43" s="878" t="s">
        <v>193</v>
      </c>
      <c r="K43" s="879"/>
      <c r="L43" s="512"/>
    </row>
    <row r="44" spans="2:17" s="524" customFormat="1" ht="25.5" customHeight="1">
      <c r="B44" s="302"/>
      <c r="C44" s="661" t="s">
        <v>55</v>
      </c>
      <c r="D44" s="907" t="s">
        <v>256</v>
      </c>
      <c r="E44" s="908"/>
      <c r="F44" s="919" t="s">
        <v>193</v>
      </c>
      <c r="G44" s="920"/>
      <c r="H44" s="866" t="s">
        <v>111</v>
      </c>
      <c r="I44" s="867"/>
      <c r="J44" s="866" t="s">
        <v>111</v>
      </c>
      <c r="K44" s="867"/>
      <c r="L44" s="512"/>
    </row>
    <row r="45" spans="2:17" ht="12.75" customHeight="1">
      <c r="B45" s="16"/>
      <c r="C45" s="293" t="str">
        <f>'Serwisy &amp; Pakiety'!C113</f>
        <v xml:space="preserve">¹ Ceny dotyczą rozliczenia vCPM po statystykach wewnętrznych WPM. W przypadku rozliczenia po statystykach zewnętrznych dopłata +20%. </v>
      </c>
      <c r="D45" s="495"/>
      <c r="E45" s="495"/>
      <c r="F45" s="298"/>
      <c r="G45" s="298"/>
      <c r="H45" s="298"/>
      <c r="I45" s="298"/>
      <c r="J45" s="298"/>
      <c r="K45" s="298"/>
      <c r="L45" s="298"/>
      <c r="M45" s="298"/>
      <c r="N45" s="298"/>
      <c r="O45" s="298"/>
    </row>
    <row r="46" spans="2:17" ht="12.75" customHeight="1">
      <c r="B46" s="16"/>
      <c r="C46" s="293" t="s">
        <v>195</v>
      </c>
      <c r="D46" s="495"/>
      <c r="E46" s="495"/>
      <c r="F46" s="298"/>
      <c r="G46" s="298"/>
      <c r="H46" s="298"/>
      <c r="I46" s="298"/>
      <c r="J46" s="298"/>
      <c r="K46" s="298"/>
      <c r="L46" s="298"/>
      <c r="M46" s="298"/>
      <c r="N46" s="298"/>
      <c r="O46" s="298"/>
    </row>
    <row r="47" spans="2:17" ht="12.75" customHeight="1">
      <c r="B47" s="16"/>
      <c r="C47" s="670" t="s">
        <v>215</v>
      </c>
      <c r="D47" s="495"/>
      <c r="E47" s="495"/>
      <c r="F47" s="298"/>
      <c r="G47" s="298"/>
      <c r="H47" s="298"/>
      <c r="I47" s="298"/>
      <c r="J47" s="298"/>
      <c r="K47" s="298"/>
      <c r="L47" s="298"/>
      <c r="M47" s="298"/>
      <c r="N47" s="298"/>
      <c r="O47" s="298"/>
    </row>
    <row r="48" spans="2:17" ht="15" customHeight="1">
      <c r="B48" s="16"/>
      <c r="C48" s="306"/>
      <c r="D48" s="306"/>
      <c r="E48" s="395"/>
      <c r="F48" s="390"/>
      <c r="G48" s="510"/>
      <c r="H48" s="390"/>
      <c r="I48" s="510"/>
      <c r="J48" s="395"/>
      <c r="K48" s="395"/>
      <c r="L48" s="395"/>
      <c r="M48" s="395"/>
      <c r="N48" s="390"/>
      <c r="O48" s="390"/>
    </row>
    <row r="49" spans="2:15" ht="15" customHeight="1">
      <c r="B49" s="16"/>
      <c r="C49" s="306"/>
      <c r="D49" s="306"/>
      <c r="E49" s="395"/>
      <c r="F49" s="390"/>
      <c r="G49" s="510"/>
      <c r="H49" s="390"/>
      <c r="I49" s="510"/>
      <c r="J49" s="395"/>
      <c r="K49" s="395"/>
      <c r="L49" s="395"/>
      <c r="M49" s="395"/>
      <c r="N49" s="390"/>
      <c r="O49" s="390"/>
    </row>
    <row r="50" spans="2:15" ht="12.75" customHeight="1">
      <c r="B50" s="16"/>
      <c r="C50" s="307" t="s">
        <v>132</v>
      </c>
      <c r="D50" s="306"/>
      <c r="E50" s="395"/>
      <c r="F50" s="390"/>
      <c r="G50" s="510"/>
      <c r="H50" s="390"/>
      <c r="I50" s="510"/>
      <c r="J50" s="395"/>
      <c r="K50" s="395"/>
      <c r="L50" s="395"/>
      <c r="M50" s="395"/>
      <c r="N50" s="390"/>
      <c r="O50" s="390"/>
    </row>
    <row r="51" spans="2:15" ht="25.5" customHeight="1">
      <c r="B51" s="16"/>
      <c r="C51" s="899" t="s">
        <v>128</v>
      </c>
      <c r="D51" s="899"/>
      <c r="E51" s="504" t="s">
        <v>135</v>
      </c>
      <c r="F51" s="882" t="s">
        <v>136</v>
      </c>
      <c r="G51" s="883"/>
      <c r="H51" s="916" t="s">
        <v>130</v>
      </c>
      <c r="I51" s="876"/>
      <c r="J51" s="395"/>
      <c r="K51" s="395"/>
      <c r="L51" s="390"/>
      <c r="M51" s="510"/>
      <c r="N51" s="390"/>
    </row>
    <row r="52" spans="2:15" ht="12.75" customHeight="1">
      <c r="B52" s="16"/>
      <c r="C52" s="899"/>
      <c r="D52" s="899"/>
      <c r="E52" s="875" t="s">
        <v>200</v>
      </c>
      <c r="F52" s="875"/>
      <c r="G52" s="876"/>
      <c r="H52" s="916" t="s">
        <v>197</v>
      </c>
      <c r="I52" s="876"/>
      <c r="J52" s="395"/>
      <c r="K52" s="395"/>
      <c r="L52" s="390"/>
      <c r="M52" s="510"/>
      <c r="N52" s="390"/>
    </row>
    <row r="53" spans="2:15" ht="12.75" customHeight="1">
      <c r="B53" s="302"/>
      <c r="C53" s="898" t="s">
        <v>133</v>
      </c>
      <c r="D53" s="384" t="s">
        <v>267</v>
      </c>
      <c r="E53" s="910">
        <v>240000</v>
      </c>
      <c r="F53" s="868">
        <v>190000</v>
      </c>
      <c r="G53" s="869"/>
      <c r="H53" s="868">
        <v>50000</v>
      </c>
      <c r="I53" s="869"/>
      <c r="J53" s="395"/>
      <c r="K53" s="395"/>
      <c r="L53" s="390"/>
      <c r="M53" s="510"/>
      <c r="N53" s="390"/>
    </row>
    <row r="54" spans="2:15" ht="12.75" customHeight="1">
      <c r="B54" s="302"/>
      <c r="C54" s="894"/>
      <c r="D54" s="327" t="s">
        <v>268</v>
      </c>
      <c r="E54" s="893"/>
      <c r="F54" s="862">
        <v>215000</v>
      </c>
      <c r="G54" s="863"/>
      <c r="H54" s="862"/>
      <c r="I54" s="863"/>
      <c r="J54" s="395"/>
      <c r="K54" s="395"/>
      <c r="L54" s="494"/>
      <c r="M54" s="510"/>
      <c r="N54" s="494"/>
    </row>
    <row r="55" spans="2:15" ht="25.5" customHeight="1">
      <c r="B55" s="302"/>
      <c r="C55" s="388" t="s">
        <v>134</v>
      </c>
      <c r="D55" s="389"/>
      <c r="E55" s="493">
        <v>70000</v>
      </c>
      <c r="F55" s="866">
        <v>80000</v>
      </c>
      <c r="G55" s="867"/>
      <c r="H55" s="866" t="s">
        <v>111</v>
      </c>
      <c r="I55" s="867"/>
      <c r="J55" s="395"/>
      <c r="K55" s="395"/>
      <c r="L55" s="390"/>
      <c r="M55" s="510"/>
      <c r="N55" s="390"/>
    </row>
    <row r="56" spans="2:15" ht="15" customHeight="1">
      <c r="B56" s="16"/>
      <c r="C56" s="306"/>
      <c r="D56" s="306"/>
      <c r="E56" s="395"/>
      <c r="F56" s="390"/>
      <c r="G56" s="510"/>
      <c r="H56" s="390"/>
      <c r="I56" s="510"/>
      <c r="J56" s="395"/>
      <c r="K56" s="395"/>
      <c r="L56" s="395"/>
      <c r="M56" s="395"/>
      <c r="N56" s="390"/>
      <c r="O56" s="390"/>
    </row>
    <row r="57" spans="2:15" ht="15" customHeight="1">
      <c r="B57" s="16"/>
      <c r="C57" s="306"/>
      <c r="D57" s="306"/>
      <c r="E57" s="395"/>
      <c r="F57" s="390"/>
      <c r="G57" s="510"/>
      <c r="H57" s="390"/>
      <c r="I57" s="510"/>
      <c r="J57" s="395"/>
      <c r="K57" s="395"/>
      <c r="L57" s="395"/>
      <c r="M57" s="395"/>
      <c r="N57" s="390"/>
      <c r="O57" s="390"/>
    </row>
    <row r="58" spans="2:15" ht="12.75" customHeight="1">
      <c r="B58" s="16"/>
      <c r="C58" s="307" t="s">
        <v>137</v>
      </c>
      <c r="D58" s="306"/>
      <c r="E58" s="395"/>
      <c r="F58" s="390"/>
      <c r="G58" s="510"/>
      <c r="H58" s="390"/>
      <c r="I58" s="510"/>
      <c r="J58" s="395"/>
      <c r="K58" s="395"/>
      <c r="L58" s="395"/>
      <c r="M58" s="395"/>
      <c r="N58" s="390"/>
      <c r="O58" s="390"/>
    </row>
    <row r="59" spans="2:15" ht="25.5" customHeight="1">
      <c r="B59" s="16"/>
      <c r="C59" s="899" t="s">
        <v>128</v>
      </c>
      <c r="D59" s="899"/>
      <c r="E59" s="509" t="s">
        <v>140</v>
      </c>
      <c r="F59" s="882" t="s">
        <v>131</v>
      </c>
      <c r="G59" s="883"/>
      <c r="H59" s="913" t="s">
        <v>158</v>
      </c>
      <c r="I59" s="883"/>
      <c r="J59" s="395"/>
      <c r="K59" s="395"/>
      <c r="L59" s="395"/>
      <c r="M59" s="395"/>
      <c r="N59" s="390"/>
      <c r="O59" s="390"/>
    </row>
    <row r="60" spans="2:15" ht="12.75" customHeight="1">
      <c r="B60" s="16"/>
      <c r="C60" s="899"/>
      <c r="D60" s="899"/>
      <c r="E60" s="875" t="s">
        <v>259</v>
      </c>
      <c r="F60" s="875"/>
      <c r="G60" s="875"/>
      <c r="H60" s="875" t="s">
        <v>258</v>
      </c>
      <c r="I60" s="876"/>
      <c r="J60" s="395"/>
      <c r="K60" s="395"/>
      <c r="L60" s="395"/>
      <c r="M60" s="395"/>
      <c r="N60" s="390"/>
      <c r="O60" s="390"/>
    </row>
    <row r="61" spans="2:15" ht="25.5" customHeight="1">
      <c r="B61" s="302"/>
      <c r="C61" s="894" t="s">
        <v>138</v>
      </c>
      <c r="D61" s="895"/>
      <c r="E61" s="910">
        <v>65</v>
      </c>
      <c r="F61" s="868">
        <v>45</v>
      </c>
      <c r="G61" s="869"/>
      <c r="H61" s="862" t="s">
        <v>159</v>
      </c>
      <c r="I61" s="863"/>
      <c r="J61" s="395"/>
      <c r="K61" s="395"/>
      <c r="L61" s="395"/>
      <c r="M61" s="395"/>
      <c r="N61" s="390"/>
      <c r="O61" s="390"/>
    </row>
    <row r="62" spans="2:15" ht="25.5" customHeight="1">
      <c r="B62" s="302"/>
      <c r="C62" s="900" t="s">
        <v>139</v>
      </c>
      <c r="D62" s="901"/>
      <c r="E62" s="911"/>
      <c r="F62" s="909"/>
      <c r="G62" s="885"/>
      <c r="H62" s="914">
        <v>0.25</v>
      </c>
      <c r="I62" s="915"/>
      <c r="J62" s="395"/>
      <c r="K62" s="395"/>
      <c r="L62" s="395"/>
      <c r="M62" s="395"/>
      <c r="N62" s="390"/>
      <c r="O62" s="390"/>
    </row>
    <row r="63" spans="2:15" ht="15" customHeight="1">
      <c r="B63" s="16"/>
      <c r="C63" s="306"/>
      <c r="D63" s="306"/>
      <c r="E63" s="395"/>
      <c r="F63" s="390"/>
      <c r="G63" s="510"/>
      <c r="H63" s="390"/>
      <c r="I63" s="510"/>
      <c r="J63" s="395"/>
      <c r="K63" s="395"/>
      <c r="L63" s="395"/>
      <c r="M63" s="395"/>
      <c r="N63" s="390"/>
      <c r="O63" s="390"/>
    </row>
    <row r="64" spans="2:15" ht="7.5" customHeight="1">
      <c r="B64" s="887" t="str">
        <f>IF('Język - Language'!$B$30="Polski","REKLAMA ODSŁONOWA (vCPM) NA SERWISACH &gt;&gt;&gt;","vCPM ADVERTISING ON SITES &gt;&gt;&gt;")</f>
        <v>REKLAMA ODSŁONOWA (vCPM) NA SERWISACH &gt;&gt;&gt;</v>
      </c>
      <c r="C64" s="887"/>
      <c r="D64" s="887"/>
      <c r="E64" s="887"/>
      <c r="F64" s="295"/>
      <c r="G64" s="295"/>
      <c r="H64" s="295"/>
      <c r="I64" s="295"/>
      <c r="J64" s="295"/>
      <c r="K64" s="295"/>
      <c r="L64" s="295"/>
      <c r="M64" s="295"/>
      <c r="N64" s="295"/>
      <c r="O64" s="295"/>
    </row>
    <row r="65" spans="2:15">
      <c r="B65" s="887"/>
      <c r="C65" s="887"/>
      <c r="D65" s="887"/>
      <c r="E65" s="887"/>
      <c r="F65" s="295"/>
      <c r="G65" s="295"/>
      <c r="H65" s="295"/>
      <c r="I65" s="295"/>
      <c r="J65" s="295"/>
      <c r="K65" s="295"/>
      <c r="L65" s="295"/>
      <c r="M65" s="295"/>
      <c r="N65" s="295"/>
      <c r="O65" s="295"/>
    </row>
    <row r="66" spans="2:15" s="524" customFormat="1" ht="7.5" customHeight="1">
      <c r="B66" s="887"/>
      <c r="C66" s="887"/>
      <c r="D66" s="887"/>
      <c r="E66" s="887"/>
      <c r="F66" s="526"/>
      <c r="G66" s="526"/>
      <c r="H66" s="526"/>
      <c r="I66" s="526"/>
      <c r="J66" s="526"/>
      <c r="K66" s="526"/>
      <c r="L66" s="526"/>
      <c r="M66" s="526"/>
      <c r="N66" s="526"/>
      <c r="O66" s="526"/>
    </row>
    <row r="67" spans="2:15" s="524" customFormat="1">
      <c r="B67" s="525"/>
      <c r="C67" s="516"/>
      <c r="D67" s="527"/>
      <c r="E67" s="528"/>
      <c r="F67" s="526"/>
      <c r="G67" s="526"/>
      <c r="H67" s="526"/>
      <c r="I67" s="526"/>
      <c r="J67" s="526"/>
      <c r="K67" s="526"/>
      <c r="L67" s="526"/>
      <c r="M67" s="526"/>
      <c r="N67" s="526"/>
      <c r="O67" s="526"/>
    </row>
    <row r="68" spans="2:15" ht="7.5" customHeight="1">
      <c r="B68" s="888" t="str">
        <f>IF('Język - Language'!$B$30="Polski","REKLAMA DATA POWER &gt;&gt;&gt;","DATA POWER ADVERTISING &gt;&gt;&gt;")</f>
        <v>REKLAMA DATA POWER &gt;&gt;&gt;</v>
      </c>
      <c r="C68" s="888"/>
      <c r="D68" s="888"/>
      <c r="E68" s="888"/>
      <c r="F68" s="295"/>
      <c r="G68" s="295"/>
      <c r="H68" s="295"/>
      <c r="I68" s="295"/>
      <c r="J68" s="330"/>
      <c r="K68" s="510"/>
      <c r="L68" s="330"/>
      <c r="M68" s="510"/>
      <c r="N68" s="330"/>
      <c r="O68" s="330"/>
    </row>
    <row r="69" spans="2:15" ht="12.75" customHeight="1">
      <c r="B69" s="888"/>
      <c r="C69" s="888"/>
      <c r="D69" s="888"/>
      <c r="E69" s="888"/>
    </row>
    <row r="70" spans="2:15" ht="7.5" customHeight="1">
      <c r="B70" s="888"/>
      <c r="C70" s="888"/>
      <c r="D70" s="888"/>
      <c r="E70" s="888"/>
    </row>
  </sheetData>
  <mergeCells count="142">
    <mergeCell ref="H10:I10"/>
    <mergeCell ref="H11:I11"/>
    <mergeCell ref="H12:I12"/>
    <mergeCell ref="N8:O8"/>
    <mergeCell ref="N9:O9"/>
    <mergeCell ref="H8:I8"/>
    <mergeCell ref="H9:I9"/>
    <mergeCell ref="P20:Q20"/>
    <mergeCell ref="N10:O10"/>
    <mergeCell ref="N11:O12"/>
    <mergeCell ref="N13:O13"/>
    <mergeCell ref="N14:O14"/>
    <mergeCell ref="N15:O15"/>
    <mergeCell ref="N16:O16"/>
    <mergeCell ref="P8:Q8"/>
    <mergeCell ref="P9:Q9"/>
    <mergeCell ref="P10:Q10"/>
    <mergeCell ref="P11:Q12"/>
    <mergeCell ref="P13:Q13"/>
    <mergeCell ref="P14:Q14"/>
    <mergeCell ref="P15:Q15"/>
    <mergeCell ref="P16:Q16"/>
    <mergeCell ref="P17:Q17"/>
    <mergeCell ref="N17:O17"/>
    <mergeCell ref="F61:G62"/>
    <mergeCell ref="E61:E62"/>
    <mergeCell ref="C39:E41"/>
    <mergeCell ref="F54:G54"/>
    <mergeCell ref="F55:G55"/>
    <mergeCell ref="H55:I55"/>
    <mergeCell ref="H59:I59"/>
    <mergeCell ref="H61:I61"/>
    <mergeCell ref="H62:I62"/>
    <mergeCell ref="H51:I51"/>
    <mergeCell ref="H52:I52"/>
    <mergeCell ref="H53:I54"/>
    <mergeCell ref="E53:E54"/>
    <mergeCell ref="D43:E43"/>
    <mergeCell ref="F44:G44"/>
    <mergeCell ref="F42:G42"/>
    <mergeCell ref="E8:E9"/>
    <mergeCell ref="C8:D10"/>
    <mergeCell ref="C11:C12"/>
    <mergeCell ref="F8:G8"/>
    <mergeCell ref="F9:G9"/>
    <mergeCell ref="F10:G10"/>
    <mergeCell ref="F11:G11"/>
    <mergeCell ref="F12:G12"/>
    <mergeCell ref="C53:C54"/>
    <mergeCell ref="D42:E42"/>
    <mergeCell ref="C28:D29"/>
    <mergeCell ref="C30:C35"/>
    <mergeCell ref="C51:D52"/>
    <mergeCell ref="F13:G13"/>
    <mergeCell ref="F14:G14"/>
    <mergeCell ref="F15:G16"/>
    <mergeCell ref="F17:G17"/>
    <mergeCell ref="F20:G20"/>
    <mergeCell ref="D44:E44"/>
    <mergeCell ref="F39:G39"/>
    <mergeCell ref="F51:G51"/>
    <mergeCell ref="E52:G52"/>
    <mergeCell ref="C18:D18"/>
    <mergeCell ref="C19:D19"/>
    <mergeCell ref="B64:E66"/>
    <mergeCell ref="B68:E70"/>
    <mergeCell ref="T17:W17"/>
    <mergeCell ref="C20:D20"/>
    <mergeCell ref="R15:R16"/>
    <mergeCell ref="C13:D13"/>
    <mergeCell ref="T13:U13"/>
    <mergeCell ref="V13:W13"/>
    <mergeCell ref="C14:D14"/>
    <mergeCell ref="T14:W15"/>
    <mergeCell ref="C15:C16"/>
    <mergeCell ref="E15:E16"/>
    <mergeCell ref="H13:I13"/>
    <mergeCell ref="H14:I14"/>
    <mergeCell ref="H15:I16"/>
    <mergeCell ref="H17:I17"/>
    <mergeCell ref="H20:I20"/>
    <mergeCell ref="C17:D17"/>
    <mergeCell ref="C59:D60"/>
    <mergeCell ref="C61:D61"/>
    <mergeCell ref="C62:D62"/>
    <mergeCell ref="F53:G53"/>
    <mergeCell ref="H39:I39"/>
    <mergeCell ref="H42:I42"/>
    <mergeCell ref="F18:G18"/>
    <mergeCell ref="F19:G19"/>
    <mergeCell ref="H18:I18"/>
    <mergeCell ref="H19:I19"/>
    <mergeCell ref="N18:O18"/>
    <mergeCell ref="N19:O19"/>
    <mergeCell ref="F35:G35"/>
    <mergeCell ref="M30:N30"/>
    <mergeCell ref="K30:L30"/>
    <mergeCell ref="N20:O20"/>
    <mergeCell ref="P19:Q19"/>
    <mergeCell ref="F29:G29"/>
    <mergeCell ref="E28:G28"/>
    <mergeCell ref="F30:G30"/>
    <mergeCell ref="F31:G31"/>
    <mergeCell ref="F32:G32"/>
    <mergeCell ref="F33:G33"/>
    <mergeCell ref="F34:G34"/>
    <mergeCell ref="H60:I60"/>
    <mergeCell ref="E60:G60"/>
    <mergeCell ref="F43:G43"/>
    <mergeCell ref="H44:I44"/>
    <mergeCell ref="J43:K43"/>
    <mergeCell ref="J42:K42"/>
    <mergeCell ref="J44:K44"/>
    <mergeCell ref="F40:K40"/>
    <mergeCell ref="J39:K39"/>
    <mergeCell ref="F41:K41"/>
    <mergeCell ref="H43:I43"/>
    <mergeCell ref="F59:G59"/>
    <mergeCell ref="M1:R3"/>
    <mergeCell ref="J15:K16"/>
    <mergeCell ref="J17:K17"/>
    <mergeCell ref="J18:K18"/>
    <mergeCell ref="J19:K19"/>
    <mergeCell ref="J20:K20"/>
    <mergeCell ref="L11:M12"/>
    <mergeCell ref="L13:M13"/>
    <mergeCell ref="L14:M14"/>
    <mergeCell ref="L15:M16"/>
    <mergeCell ref="L17:M17"/>
    <mergeCell ref="L18:M18"/>
    <mergeCell ref="L19:M19"/>
    <mergeCell ref="L20:M20"/>
    <mergeCell ref="J8:K8"/>
    <mergeCell ref="J9:K9"/>
    <mergeCell ref="J10:K10"/>
    <mergeCell ref="L8:M8"/>
    <mergeCell ref="L9:M9"/>
    <mergeCell ref="L10:M10"/>
    <mergeCell ref="J11:K12"/>
    <mergeCell ref="J13:K13"/>
    <mergeCell ref="J14:K14"/>
    <mergeCell ref="P18:Q18"/>
  </mergeCells>
  <hyperlinks>
    <hyperlink ref="B64" location="'Serwisy &amp; Pakiety'!A22" display="'Serwisy &amp; Pakiety'!A22"/>
    <hyperlink ref="B68" location="DataPower!A7" display="DataPower!A7"/>
    <hyperlink ref="B68:E70" location="'Dopłaty - Extra charges'!A76" display="'Dopłaty - Extra charges'!A76"/>
  </hyperlink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pageSetUpPr fitToPage="1"/>
  </sheetPr>
  <dimension ref="A1:R76"/>
  <sheetViews>
    <sheetView zoomScaleNormal="100" workbookViewId="0">
      <pane ySplit="4" topLeftCell="A5" activePane="bottomLeft" state="frozen"/>
      <selection pane="bottomLeft"/>
    </sheetView>
  </sheetViews>
  <sheetFormatPr defaultColWidth="11.42578125" defaultRowHeight="12.75"/>
  <cols>
    <col min="1" max="1" width="2.85546875" style="220" customWidth="1"/>
    <col min="2" max="2" width="2.85546875" style="65" customWidth="1"/>
    <col min="3" max="3" width="25" style="65" customWidth="1"/>
    <col min="4" max="4" width="25.7109375" style="65" customWidth="1"/>
    <col min="5" max="7" width="25.5703125" style="65" customWidth="1"/>
    <col min="8" max="8" width="25.5703125" style="105" customWidth="1"/>
    <col min="9" max="9" width="25.5703125" style="65" customWidth="1"/>
    <col min="10" max="10" width="10" style="65" customWidth="1"/>
    <col min="11" max="11" width="15.42578125" style="65" customWidth="1"/>
    <col min="12" max="14" width="13.42578125" style="65" customWidth="1"/>
    <col min="15" max="15" width="11" style="65" customWidth="1"/>
    <col min="16" max="16" width="24" style="65" customWidth="1"/>
    <col min="17" max="16384" width="11.42578125" style="65"/>
  </cols>
  <sheetData>
    <row r="1" spans="1:18" ht="12.75" customHeight="1">
      <c r="A1" s="288"/>
      <c r="B1" s="286"/>
      <c r="C1" s="15" t="s">
        <v>31</v>
      </c>
      <c r="D1" s="15"/>
      <c r="E1" s="726" t="str">
        <f>IF('Język - Language'!$B$30="Polski",CONCATENATE("Cennik Reklamowy Wirtualna Polska Media S.A. - obowiązuje od 1.11.2019 r.",CHAR(10),"W celu zasięgnięcia dodatkowych informacji prosimy o kontakt z Biurem Reklamy,",CHAR(10),"reklama@grupawp.pl, tel. (+48) 22 57 63 900; fax (+48) 22 57 63 959"),CONCATENATE("Advertising price list of Wirtualna Polska Media S.A. - valid from November 1, 2019",CHAR(10),"For further information please contact the Advertising Office of WP,",CHAR(10),"reklama@grupawp.pl, phone (+48) 22 57 63 900; fax (+48) 22 57 63 959"))</f>
        <v>Cennik Reklamowy Wirtualna Polska Media S.A. - obowiązuje od 1.11.2019 r.
W celu zasięgnięcia dodatkowych informacji prosimy o kontakt z Biurem Reklamy,
reklama@grupawp.pl, tel. (+48) 22 57 63 900; fax (+48) 22 57 63 959</v>
      </c>
      <c r="F1" s="726"/>
      <c r="G1" s="726"/>
      <c r="H1" s="726"/>
      <c r="I1" s="290"/>
      <c r="J1" s="76"/>
      <c r="K1" s="288"/>
      <c r="L1" s="288"/>
      <c r="M1" s="288"/>
      <c r="N1" s="288"/>
      <c r="O1" s="288"/>
      <c r="P1" s="288"/>
      <c r="Q1" s="288"/>
      <c r="R1" s="288"/>
    </row>
    <row r="2" spans="1:18" ht="12.75" customHeight="1">
      <c r="A2" s="288"/>
      <c r="B2" s="288"/>
      <c r="C2" s="288"/>
      <c r="D2" s="288"/>
      <c r="E2" s="726"/>
      <c r="F2" s="726"/>
      <c r="G2" s="726"/>
      <c r="H2" s="726"/>
      <c r="I2" s="290"/>
      <c r="J2" s="76"/>
      <c r="K2" s="288"/>
      <c r="L2" s="288"/>
      <c r="M2" s="288"/>
      <c r="N2" s="288"/>
      <c r="O2" s="288"/>
      <c r="P2" s="288"/>
      <c r="Q2" s="288"/>
      <c r="R2" s="288"/>
    </row>
    <row r="3" spans="1:18">
      <c r="A3" s="288"/>
      <c r="B3" s="288"/>
      <c r="C3" s="288"/>
      <c r="D3" s="288"/>
      <c r="E3" s="726"/>
      <c r="F3" s="726"/>
      <c r="G3" s="726"/>
      <c r="H3" s="726"/>
      <c r="I3" s="290"/>
      <c r="J3" s="76"/>
      <c r="K3" s="288"/>
      <c r="L3" s="288"/>
      <c r="M3" s="288"/>
      <c r="N3" s="288"/>
      <c r="O3" s="288"/>
      <c r="P3" s="288"/>
      <c r="Q3" s="288"/>
      <c r="R3" s="288"/>
    </row>
    <row r="4" spans="1:18" s="34" customFormat="1" ht="12.75" customHeight="1">
      <c r="A4" s="291"/>
      <c r="B4" s="291"/>
      <c r="C4" s="103" t="str">
        <f>IF('Język - Language'!$B$30="Polski","            Emisje dobowe i tygodniowe","            Flat Fee daily and weekly emission")</f>
        <v xml:space="preserve">            Emisje dobowe i tygodniowe</v>
      </c>
      <c r="D4" s="77"/>
      <c r="E4" s="77"/>
      <c r="F4" s="77"/>
      <c r="G4" s="291"/>
      <c r="H4" s="285" t="str">
        <f>IF('Język - Language'!$B$30="Polski","PL","EN")</f>
        <v>PL</v>
      </c>
      <c r="I4" s="291"/>
      <c r="J4" s="291"/>
      <c r="K4" s="291"/>
      <c r="L4" s="291"/>
      <c r="M4" s="291"/>
      <c r="N4" s="291"/>
      <c r="O4" s="291"/>
      <c r="P4" s="291"/>
      <c r="Q4" s="291"/>
      <c r="R4" s="291"/>
    </row>
    <row r="5" spans="1:18" s="3" customFormat="1" ht="12.75" customHeight="1">
      <c r="A5" s="286"/>
      <c r="B5" s="286"/>
      <c r="C5" s="9"/>
      <c r="D5" s="9"/>
      <c r="E5" s="9"/>
      <c r="F5" s="9"/>
      <c r="G5" s="286"/>
      <c r="H5" s="286"/>
      <c r="I5" s="286"/>
      <c r="J5" s="286"/>
      <c r="K5" s="286"/>
      <c r="L5" s="286"/>
      <c r="M5" s="286"/>
      <c r="N5" s="286"/>
      <c r="O5" s="286"/>
      <c r="P5" s="286"/>
      <c r="Q5" s="286"/>
      <c r="R5" s="286"/>
    </row>
    <row r="6" spans="1:18" ht="12.75" customHeight="1">
      <c r="A6" s="288"/>
      <c r="B6" s="288"/>
      <c r="C6" s="32"/>
      <c r="D6" s="32"/>
      <c r="E6" s="32"/>
      <c r="F6" s="32"/>
      <c r="G6" s="32"/>
      <c r="H6" s="32"/>
      <c r="I6" s="32"/>
      <c r="J6" s="32"/>
      <c r="K6" s="32"/>
      <c r="L6" s="32"/>
      <c r="M6" s="32"/>
      <c r="N6" s="32"/>
      <c r="O6" s="32"/>
      <c r="P6" s="80"/>
      <c r="Q6" s="286"/>
      <c r="R6" s="288"/>
    </row>
    <row r="7" spans="1:18" ht="12.75" customHeight="1">
      <c r="A7" s="288"/>
      <c r="B7" s="288"/>
      <c r="C7" s="924" t="str">
        <f>IF('Język - Language'!$B$30="Polski",CONCATENATE("PANEL PREMIUM",CHAR(10),"MIEJSCE EMISJI"),CONCATENATE("PANEL PREMIUM",CHAR(10),"PLACE OF EMISSION"))</f>
        <v>PANEL PREMIUM
MIEJSCE EMISJI</v>
      </c>
      <c r="D7" s="847" t="str">
        <f>IF('Język - Language'!$B$30="Polski","FORMAT","FORMAT")</f>
        <v>FORMAT</v>
      </c>
      <c r="E7" s="847" t="str">
        <f>IF('Język - Language'!$B$30="Polski","MODEL EMISJI","MODEL OF EMISSION")</f>
        <v>MODEL EMISJI</v>
      </c>
      <c r="F7" s="847"/>
      <c r="G7" s="847" t="str">
        <f>IF('Język - Language'!$B$30="Polski","CENA RC","RC PRICE")</f>
        <v>CENA RC</v>
      </c>
      <c r="H7" s="852"/>
      <c r="I7" s="38"/>
      <c r="J7" s="38"/>
      <c r="K7" s="8"/>
      <c r="L7" s="8"/>
      <c r="M7" s="26"/>
      <c r="N7" s="286"/>
      <c r="O7" s="286"/>
      <c r="P7" s="286"/>
      <c r="Q7" s="286"/>
      <c r="R7" s="286"/>
    </row>
    <row r="8" spans="1:18" s="288" customFormat="1" ht="12.75" customHeight="1">
      <c r="C8" s="924"/>
      <c r="D8" s="847"/>
      <c r="E8" s="847"/>
      <c r="F8" s="847"/>
      <c r="G8" s="710" t="str">
        <f>IF('Język - Language'!$B$30="Polski","styczeń-wrzesień","Jan-Sep")</f>
        <v>styczeń-wrzesień</v>
      </c>
      <c r="H8" s="711" t="str">
        <f>IF('Język - Language'!$B$30="Polski","październik-grudzień","Oct-Dec")</f>
        <v>październik-grudzień</v>
      </c>
      <c r="I8" s="38"/>
      <c r="J8" s="38"/>
      <c r="K8" s="8"/>
      <c r="L8" s="8"/>
      <c r="M8" s="26"/>
      <c r="N8" s="286"/>
      <c r="O8" s="286"/>
      <c r="P8" s="286"/>
      <c r="Q8" s="286"/>
      <c r="R8" s="286"/>
    </row>
    <row r="9" spans="1:18" s="244" customFormat="1" ht="12.75" customHeight="1">
      <c r="A9" s="288"/>
      <c r="B9" s="961" t="s">
        <v>32</v>
      </c>
      <c r="C9" s="925" t="s">
        <v>29</v>
      </c>
      <c r="D9" s="325" t="str">
        <f>IF('Język - Language'!$B$30="Polski","Panel Premium","Panel Premium")</f>
        <v>Panel Premium</v>
      </c>
      <c r="E9" s="937" t="str">
        <f>IF('Język - Language'!$B$30="Polski","Flat Fee / dzień","Flat Fee / 1 day")</f>
        <v>Flat Fee / dzień</v>
      </c>
      <c r="F9" s="938"/>
      <c r="G9" s="416">
        <v>385000</v>
      </c>
      <c r="H9" s="421">
        <v>450000</v>
      </c>
      <c r="I9" s="38"/>
      <c r="J9" s="38"/>
      <c r="K9" s="8"/>
      <c r="L9" s="8"/>
      <c r="M9" s="26"/>
      <c r="N9" s="286"/>
      <c r="O9" s="286"/>
      <c r="P9" s="286"/>
      <c r="Q9" s="286"/>
      <c r="R9" s="286"/>
    </row>
    <row r="10" spans="1:18" s="87" customFormat="1" ht="12.75" customHeight="1">
      <c r="A10" s="288"/>
      <c r="B10" s="961"/>
      <c r="C10" s="925"/>
      <c r="D10" s="190" t="str">
        <f>IF('Język - Language'!$B$30="Polski","Panel Premium XL","Panel Premium XL")</f>
        <v>Panel Premium XL</v>
      </c>
      <c r="E10" s="937"/>
      <c r="F10" s="938"/>
      <c r="G10" s="416">
        <v>470000</v>
      </c>
      <c r="H10" s="421">
        <v>565000</v>
      </c>
      <c r="I10" s="38"/>
      <c r="J10" s="38"/>
      <c r="K10" s="8"/>
      <c r="L10" s="8"/>
      <c r="M10" s="26"/>
      <c r="N10" s="286"/>
      <c r="O10" s="286"/>
      <c r="P10" s="286"/>
      <c r="Q10" s="286"/>
      <c r="R10" s="286"/>
    </row>
    <row r="11" spans="1:18" s="288" customFormat="1" ht="12.75" customHeight="1">
      <c r="B11" s="961"/>
      <c r="C11" s="925"/>
      <c r="D11" s="190" t="str">
        <f>IF('Język - Language'!$B$30="Polski","WP Box w module Wiadomości FF","WP Box in the News category FF")</f>
        <v>WP Box w module Wiadomości FF</v>
      </c>
      <c r="E11" s="937"/>
      <c r="F11" s="938"/>
      <c r="G11" s="414">
        <v>130000</v>
      </c>
      <c r="H11" s="415">
        <v>155000</v>
      </c>
      <c r="I11" s="38"/>
      <c r="J11" s="38"/>
      <c r="K11" s="8"/>
      <c r="L11" s="8"/>
      <c r="M11" s="26"/>
      <c r="N11" s="286"/>
      <c r="O11" s="286"/>
      <c r="P11" s="286"/>
      <c r="Q11" s="286"/>
      <c r="R11" s="286"/>
    </row>
    <row r="12" spans="1:18" s="288" customFormat="1" ht="12.75" customHeight="1">
      <c r="B12" s="961"/>
      <c r="C12" s="925"/>
      <c r="D12" s="190" t="str">
        <f>IF('Język - Language'!$B$30="Polski","WP Box w module Sport FF","WP Box in the Sport category FF")</f>
        <v>WP Box w module Sport FF</v>
      </c>
      <c r="E12" s="937"/>
      <c r="F12" s="938"/>
      <c r="G12" s="414">
        <v>90000</v>
      </c>
      <c r="H12" s="415">
        <v>105000</v>
      </c>
      <c r="I12" s="38"/>
      <c r="J12" s="38"/>
      <c r="K12" s="8"/>
      <c r="L12" s="8"/>
      <c r="M12" s="26"/>
      <c r="N12" s="286"/>
      <c r="O12" s="286"/>
      <c r="P12" s="286"/>
      <c r="Q12" s="286"/>
      <c r="R12" s="286"/>
    </row>
    <row r="13" spans="1:18" s="288" customFormat="1" ht="12.75" customHeight="1">
      <c r="B13" s="961"/>
      <c r="C13" s="925"/>
      <c r="D13" s="190" t="str">
        <f>IF('Język - Language'!$B$30="Polski","WP Box w module Biznes FF","WP Box in the Business category FF")</f>
        <v>WP Box w module Biznes FF</v>
      </c>
      <c r="E13" s="937"/>
      <c r="F13" s="938"/>
      <c r="G13" s="414">
        <v>63000</v>
      </c>
      <c r="H13" s="415">
        <v>72000</v>
      </c>
      <c r="I13" s="38"/>
      <c r="J13" s="38"/>
      <c r="K13" s="8"/>
      <c r="L13" s="8"/>
      <c r="M13" s="26"/>
      <c r="N13" s="286"/>
      <c r="O13" s="286"/>
      <c r="P13" s="286"/>
      <c r="Q13" s="286"/>
      <c r="R13" s="286"/>
    </row>
    <row r="14" spans="1:18" s="288" customFormat="1" ht="12.75" customHeight="1">
      <c r="B14" s="961"/>
      <c r="C14" s="926"/>
      <c r="D14" s="420" t="str">
        <f>IF('Język - Language'!$B$30="Polski","Belka reklamowa FF²","Advertising bar FF²")</f>
        <v>Belka reklamowa FF²</v>
      </c>
      <c r="E14" s="939"/>
      <c r="F14" s="940"/>
      <c r="G14" s="935">
        <v>135000</v>
      </c>
      <c r="H14" s="936"/>
      <c r="I14" s="38"/>
      <c r="J14" s="38"/>
      <c r="K14" s="8"/>
      <c r="L14" s="8"/>
      <c r="M14" s="26"/>
      <c r="N14" s="286"/>
      <c r="O14" s="286"/>
      <c r="P14" s="286"/>
      <c r="Q14" s="286"/>
      <c r="R14" s="286"/>
    </row>
    <row r="15" spans="1:18" s="87" customFormat="1" ht="12.75" customHeight="1">
      <c r="A15" s="288"/>
      <c r="B15" s="961"/>
      <c r="C15" s="671" t="str">
        <f>IF('Język - Language'!$B$30="Polski","   Pudelek SG","   Pudelek Home Page")</f>
        <v xml:space="preserve">   Pudelek SG</v>
      </c>
      <c r="D15" s="198" t="str">
        <f>IF('Język - Language'!$B$30="Polski","Panel Premium","Panel Premium")</f>
        <v>Panel Premium</v>
      </c>
      <c r="E15" s="946" t="str">
        <f>IF('Język - Language'!$B$30="Polski","Flat Fee / dzień","Flat Fee / 1 day")</f>
        <v>Flat Fee / dzień</v>
      </c>
      <c r="F15" s="947"/>
      <c r="G15" s="948">
        <v>30000</v>
      </c>
      <c r="H15" s="949"/>
      <c r="I15" s="38"/>
      <c r="J15" s="38"/>
      <c r="K15" s="8"/>
      <c r="L15" s="8"/>
      <c r="M15" s="26"/>
      <c r="N15" s="286"/>
      <c r="O15" s="286"/>
      <c r="P15" s="286"/>
      <c r="Q15" s="286"/>
      <c r="R15" s="286"/>
    </row>
    <row r="16" spans="1:18" s="87" customFormat="1" ht="12.75" customHeight="1">
      <c r="A16" s="288"/>
      <c r="B16" s="961"/>
      <c r="C16" s="945" t="s">
        <v>262</v>
      </c>
      <c r="D16" s="191" t="s">
        <v>266</v>
      </c>
      <c r="E16" s="946" t="s">
        <v>264</v>
      </c>
      <c r="F16" s="947"/>
      <c r="G16" s="784">
        <v>80000</v>
      </c>
      <c r="H16" s="950"/>
      <c r="I16" s="38"/>
      <c r="J16" s="38"/>
      <c r="K16" s="8"/>
      <c r="L16" s="8"/>
      <c r="M16" s="26"/>
      <c r="N16" s="286"/>
      <c r="O16" s="286"/>
      <c r="P16" s="286"/>
      <c r="Q16" s="286"/>
      <c r="R16" s="286"/>
    </row>
    <row r="17" spans="1:18" s="288" customFormat="1" ht="12.75" customHeight="1">
      <c r="B17" s="961"/>
      <c r="C17" s="926"/>
      <c r="D17" s="420" t="s">
        <v>277</v>
      </c>
      <c r="E17" s="939"/>
      <c r="F17" s="940"/>
      <c r="G17" s="935">
        <v>70000</v>
      </c>
      <c r="H17" s="936"/>
      <c r="I17" s="38"/>
      <c r="J17" s="38"/>
      <c r="K17" s="8"/>
      <c r="L17" s="8"/>
      <c r="M17" s="26"/>
      <c r="N17" s="286"/>
      <c r="O17" s="286"/>
      <c r="P17" s="286"/>
      <c r="Q17" s="286"/>
      <c r="R17" s="286"/>
    </row>
    <row r="18" spans="1:18" s="87" customFormat="1" ht="12.75" customHeight="1">
      <c r="A18" s="288"/>
      <c r="B18" s="961"/>
      <c r="C18" s="198" t="str">
        <f>IF('Język - Language'!$B$30="Polski","Poczta WP","WP Email Service")</f>
        <v>Poczta WP</v>
      </c>
      <c r="D18" s="945" t="str">
        <f>IF('Język - Language'!$B$30="Polski","Panel Premium","Panel Premium")</f>
        <v>Panel Premium</v>
      </c>
      <c r="E18" s="929" t="str">
        <f>IF('Język - Language'!$B$30="Polski","Flat Fee (z wykluczeniami) / dzień","Flat Fee (exclusions) / 1 day")</f>
        <v>Flat Fee (z wykluczeniami) / dzień</v>
      </c>
      <c r="F18" s="930"/>
      <c r="G18" s="948">
        <v>110000</v>
      </c>
      <c r="H18" s="949"/>
      <c r="I18" s="38"/>
      <c r="J18" s="38"/>
      <c r="K18" s="8"/>
      <c r="L18" s="8"/>
      <c r="M18" s="26"/>
      <c r="N18" s="286"/>
      <c r="O18" s="286"/>
      <c r="P18" s="286"/>
      <c r="Q18" s="286"/>
      <c r="R18" s="286"/>
    </row>
    <row r="19" spans="1:18" s="87" customFormat="1" ht="12.75" customHeight="1">
      <c r="A19" s="288"/>
      <c r="B19" s="961"/>
      <c r="C19" s="199" t="s">
        <v>33</v>
      </c>
      <c r="D19" s="925"/>
      <c r="E19" s="989" t="str">
        <f>IF('Język - Language'!$B$30="Polski","Flat Fee / tydzień","Flat Fee / 1 week")</f>
        <v>Flat Fee / tydzień</v>
      </c>
      <c r="F19" s="990"/>
      <c r="G19" s="996">
        <v>25000</v>
      </c>
      <c r="H19" s="997"/>
      <c r="I19" s="38"/>
      <c r="J19" s="38"/>
      <c r="K19" s="8"/>
      <c r="L19" s="8"/>
      <c r="M19" s="26"/>
      <c r="N19" s="286"/>
      <c r="O19" s="286"/>
      <c r="P19" s="286"/>
      <c r="Q19" s="286"/>
      <c r="R19" s="286"/>
    </row>
    <row r="20" spans="1:18" s="87" customFormat="1" ht="12.75" customHeight="1">
      <c r="A20" s="288"/>
      <c r="B20" s="961"/>
      <c r="C20" s="191" t="s">
        <v>34</v>
      </c>
      <c r="D20" s="925"/>
      <c r="E20" s="991"/>
      <c r="F20" s="992"/>
      <c r="G20" s="933">
        <v>20000</v>
      </c>
      <c r="H20" s="934"/>
      <c r="I20" s="38"/>
      <c r="J20" s="38"/>
      <c r="K20" s="8"/>
      <c r="L20" s="8"/>
      <c r="M20" s="26"/>
      <c r="N20" s="286"/>
      <c r="O20" s="286"/>
      <c r="P20" s="286"/>
      <c r="Q20" s="286"/>
      <c r="R20" s="286"/>
    </row>
    <row r="21" spans="1:18" s="87" customFormat="1" ht="12.75" customHeight="1">
      <c r="A21" s="288"/>
      <c r="B21" s="961"/>
      <c r="C21" s="191" t="s">
        <v>35</v>
      </c>
      <c r="D21" s="925"/>
      <c r="E21" s="991"/>
      <c r="F21" s="992"/>
      <c r="G21" s="933">
        <v>20000</v>
      </c>
      <c r="H21" s="934"/>
      <c r="I21" s="38"/>
      <c r="J21" s="38"/>
      <c r="K21" s="8"/>
      <c r="L21" s="8"/>
      <c r="M21" s="26"/>
      <c r="N21" s="286"/>
      <c r="O21" s="286"/>
      <c r="P21" s="286"/>
      <c r="Q21" s="286"/>
      <c r="R21" s="286"/>
    </row>
    <row r="22" spans="1:18" s="87" customFormat="1" ht="12.75" customHeight="1">
      <c r="A22" s="288"/>
      <c r="B22" s="961"/>
      <c r="C22" s="190" t="s">
        <v>36</v>
      </c>
      <c r="D22" s="925"/>
      <c r="E22" s="991"/>
      <c r="F22" s="992"/>
      <c r="G22" s="933">
        <v>20000</v>
      </c>
      <c r="H22" s="934"/>
      <c r="I22" s="38"/>
      <c r="J22" s="38"/>
      <c r="K22" s="8"/>
      <c r="L22" s="8"/>
      <c r="M22" s="26"/>
      <c r="N22" s="286"/>
      <c r="O22" s="286"/>
      <c r="P22" s="286"/>
      <c r="Q22" s="286"/>
      <c r="R22" s="286"/>
    </row>
    <row r="23" spans="1:18" s="288" customFormat="1" ht="12.75" customHeight="1">
      <c r="B23" s="961"/>
      <c r="C23" s="190" t="s">
        <v>30</v>
      </c>
      <c r="D23" s="925"/>
      <c r="E23" s="991"/>
      <c r="F23" s="992"/>
      <c r="G23" s="933">
        <v>240000</v>
      </c>
      <c r="H23" s="934"/>
      <c r="I23" s="38"/>
      <c r="J23" s="38"/>
      <c r="K23" s="8"/>
      <c r="L23" s="8"/>
      <c r="M23" s="26"/>
      <c r="N23" s="286"/>
      <c r="O23" s="286"/>
      <c r="P23" s="286"/>
      <c r="Q23" s="286"/>
      <c r="R23" s="286"/>
    </row>
    <row r="24" spans="1:18" s="127" customFormat="1" ht="12.75" customHeight="1">
      <c r="A24" s="288"/>
      <c r="B24" s="961"/>
      <c r="C24" s="190" t="str">
        <f>IF('Język - Language'!$B$30="Polski","SG Money","Money Home Page")</f>
        <v>SG Money</v>
      </c>
      <c r="D24" s="925"/>
      <c r="E24" s="991"/>
      <c r="F24" s="992"/>
      <c r="G24" s="933">
        <v>50000</v>
      </c>
      <c r="H24" s="934"/>
      <c r="I24" s="38"/>
      <c r="J24" s="38"/>
      <c r="K24" s="8"/>
      <c r="L24" s="8"/>
      <c r="M24" s="26"/>
      <c r="N24" s="286"/>
      <c r="O24" s="286"/>
      <c r="P24" s="286"/>
      <c r="Q24" s="286"/>
      <c r="R24" s="286"/>
    </row>
    <row r="25" spans="1:18" s="127" customFormat="1" ht="12.75" customHeight="1">
      <c r="A25" s="288"/>
      <c r="B25" s="961"/>
      <c r="C25" s="332" t="str">
        <f>IF('Język - Language'!$B$30="Polski","dobreprogramy.pl¹","dobreprogramy.pl¹")</f>
        <v>dobreprogramy.pl¹</v>
      </c>
      <c r="D25" s="925"/>
      <c r="E25" s="993"/>
      <c r="F25" s="994"/>
      <c r="G25" s="935">
        <v>25000</v>
      </c>
      <c r="H25" s="936"/>
      <c r="I25" s="38"/>
      <c r="J25" s="38"/>
      <c r="K25" s="8"/>
      <c r="L25" s="8"/>
      <c r="M25" s="26"/>
      <c r="N25" s="286"/>
      <c r="O25" s="286"/>
      <c r="P25" s="286"/>
      <c r="Q25" s="286"/>
      <c r="R25" s="286"/>
    </row>
    <row r="26" spans="1:18" s="87" customFormat="1" ht="12.75" customHeight="1">
      <c r="A26" s="288"/>
      <c r="B26" s="961"/>
      <c r="C26" s="331" t="s">
        <v>37</v>
      </c>
      <c r="D26" s="925"/>
      <c r="E26" s="989" t="str">
        <f>IF('Język - Language'!$B$30="Polski","Flat Fee / dzień","Flat Fee / 1 day")</f>
        <v>Flat Fee / dzień</v>
      </c>
      <c r="F26" s="990"/>
      <c r="G26" s="996">
        <v>60000</v>
      </c>
      <c r="H26" s="997"/>
      <c r="I26" s="38"/>
      <c r="J26" s="38"/>
      <c r="K26" s="8"/>
      <c r="L26" s="8"/>
      <c r="M26" s="26"/>
      <c r="N26" s="286"/>
      <c r="O26" s="286"/>
      <c r="P26" s="286"/>
      <c r="Q26" s="286"/>
      <c r="R26" s="286"/>
    </row>
    <row r="27" spans="1:18" s="87" customFormat="1" ht="12.75" customHeight="1">
      <c r="A27" s="288"/>
      <c r="B27" s="966"/>
      <c r="C27" s="192" t="s">
        <v>38</v>
      </c>
      <c r="D27" s="926"/>
      <c r="E27" s="993"/>
      <c r="F27" s="994"/>
      <c r="G27" s="931">
        <v>20000</v>
      </c>
      <c r="H27" s="932"/>
      <c r="I27" s="38"/>
      <c r="J27" s="38"/>
      <c r="K27" s="8"/>
      <c r="L27" s="8"/>
      <c r="M27" s="26"/>
      <c r="N27" s="286"/>
      <c r="O27" s="286"/>
      <c r="P27" s="286"/>
      <c r="Q27" s="286"/>
      <c r="R27" s="286"/>
    </row>
    <row r="28" spans="1:18" s="127" customFormat="1" ht="12.75" customHeight="1">
      <c r="A28" s="288"/>
      <c r="B28" s="237"/>
      <c r="C28" s="212" t="str">
        <f>IF('Język - Language'!$B$30="Polski","¹ emisja z wyłączeniem forum.dobreprogramy.pl","¹ emission without section forum.dobreprogramy.pl")</f>
        <v>¹ emisja z wyłączeniem forum.dobreprogramy.pl</v>
      </c>
      <c r="D28" s="341"/>
      <c r="E28" s="196"/>
      <c r="F28" s="196"/>
      <c r="G28" s="196"/>
      <c r="H28" s="196"/>
      <c r="I28" s="38"/>
      <c r="J28" s="38"/>
      <c r="K28" s="8"/>
      <c r="L28" s="8"/>
      <c r="M28" s="26"/>
      <c r="N28" s="286"/>
      <c r="O28" s="286"/>
      <c r="P28" s="286"/>
      <c r="Q28" s="286"/>
      <c r="R28" s="286"/>
    </row>
    <row r="29" spans="1:18" s="111" customFormat="1" ht="12.75" customHeight="1">
      <c r="A29" s="288"/>
      <c r="B29" s="288"/>
      <c r="C29" s="130"/>
      <c r="D29" s="130"/>
      <c r="E29" s="81"/>
      <c r="F29" s="81"/>
      <c r="G29" s="38"/>
      <c r="H29" s="38"/>
      <c r="I29" s="8"/>
      <c r="J29" s="8"/>
      <c r="K29" s="26"/>
      <c r="L29" s="286"/>
      <c r="M29" s="286"/>
      <c r="N29" s="286"/>
      <c r="O29" s="286"/>
      <c r="P29" s="286"/>
      <c r="Q29" s="288"/>
      <c r="R29" s="288"/>
    </row>
    <row r="30" spans="1:18" s="106" customFormat="1">
      <c r="A30" s="288"/>
      <c r="B30" s="288"/>
      <c r="C30" s="130"/>
      <c r="D30" s="130"/>
      <c r="E30" s="81"/>
      <c r="F30" s="81"/>
      <c r="G30" s="38"/>
      <c r="H30" s="38"/>
      <c r="I30" s="8"/>
      <c r="J30" s="8"/>
      <c r="K30" s="26"/>
      <c r="L30" s="286"/>
      <c r="M30" s="286"/>
      <c r="N30" s="286"/>
      <c r="O30" s="286"/>
      <c r="P30" s="286"/>
      <c r="Q30" s="288"/>
      <c r="R30" s="288"/>
    </row>
    <row r="31" spans="1:18" s="109" customFormat="1" ht="25.5" customHeight="1">
      <c r="A31" s="288"/>
      <c r="B31" s="288"/>
      <c r="C31" s="998" t="str">
        <f>IF('Język - Language'!$B$30="Polski",CONCATENATE("NAGŁÓWEK SPONSOROWANY",CHAR(10),"MIEJSCE EMISJI"),CONCATENATE("SPONSORED HEADING",CHAR(10),"PLACE OF EMISSION"))</f>
        <v>NAGŁÓWEK SPONSOROWANY
MIEJSCE EMISJI</v>
      </c>
      <c r="D31" s="998"/>
      <c r="E31" s="988" t="str">
        <f>IF('Język - Language'!$B$30="Polski",CONCATENATE("Nagłówek sponsorowany standard",CHAR(10),"(FF / tydzień)"),CONCATENATE("Sponsored heading standard",CHAR(10),"(FF / week)"))</f>
        <v>Nagłówek sponsorowany standard
(FF / tydzień)</v>
      </c>
      <c r="F31" s="988"/>
      <c r="G31" s="988" t="str">
        <f>IF('Język - Language'!$B$30="Polski","Nagłówek sponsorowany (FF / tydzień) + tapeta (cap 1xuu / dzień)","Sponsored heading (FF / week) + Wallpaper (cap 1xuu / day)")</f>
        <v>Nagłówek sponsorowany (FF / tydzień) + tapeta (cap 1xuu / dzień)</v>
      </c>
      <c r="H31" s="995"/>
      <c r="I31" s="7"/>
      <c r="J31" s="313"/>
      <c r="K31" s="313"/>
      <c r="L31" s="288"/>
      <c r="M31" s="288"/>
      <c r="N31" s="288"/>
      <c r="O31" s="288"/>
      <c r="P31" s="288"/>
      <c r="Q31" s="288"/>
      <c r="R31" s="288"/>
    </row>
    <row r="32" spans="1:18" s="109" customFormat="1" ht="12.75" customHeight="1">
      <c r="A32" s="288"/>
      <c r="B32" s="961" t="s">
        <v>32</v>
      </c>
      <c r="C32" s="999" t="s">
        <v>41</v>
      </c>
      <c r="D32" s="1000"/>
      <c r="E32" s="941">
        <v>60000</v>
      </c>
      <c r="F32" s="942"/>
      <c r="G32" s="941">
        <v>80000</v>
      </c>
      <c r="H32" s="942"/>
      <c r="I32" s="241"/>
      <c r="J32" s="313"/>
      <c r="K32" s="313"/>
      <c r="L32" s="313"/>
      <c r="M32" s="288"/>
      <c r="N32" s="286"/>
      <c r="O32" s="288"/>
      <c r="P32" s="288"/>
      <c r="Q32" s="288"/>
      <c r="R32" s="288"/>
    </row>
    <row r="33" spans="1:18" s="109" customFormat="1" ht="12.75" customHeight="1">
      <c r="A33" s="288"/>
      <c r="B33" s="961"/>
      <c r="C33" s="943" t="s">
        <v>161</v>
      </c>
      <c r="D33" s="944"/>
      <c r="E33" s="927">
        <v>150000</v>
      </c>
      <c r="F33" s="928"/>
      <c r="G33" s="927">
        <v>210000</v>
      </c>
      <c r="H33" s="928"/>
      <c r="I33" s="241"/>
      <c r="J33" s="313"/>
      <c r="K33" s="313"/>
      <c r="L33" s="313"/>
      <c r="M33" s="288"/>
      <c r="N33" s="286"/>
      <c r="O33" s="288"/>
      <c r="P33" s="288"/>
      <c r="Q33" s="288"/>
      <c r="R33" s="288"/>
    </row>
    <row r="34" spans="1:18" s="109" customFormat="1" ht="12.75" customHeight="1">
      <c r="A34" s="288"/>
      <c r="B34" s="961"/>
      <c r="C34" s="943" t="s">
        <v>39</v>
      </c>
      <c r="D34" s="944"/>
      <c r="E34" s="927">
        <v>230000</v>
      </c>
      <c r="F34" s="928"/>
      <c r="G34" s="927">
        <v>290000</v>
      </c>
      <c r="H34" s="928"/>
      <c r="I34" s="241"/>
      <c r="J34" s="313"/>
      <c r="K34" s="313"/>
      <c r="L34" s="313"/>
      <c r="M34" s="288"/>
      <c r="N34" s="286"/>
      <c r="O34" s="288"/>
      <c r="P34" s="288"/>
      <c r="Q34" s="288"/>
      <c r="R34" s="288"/>
    </row>
    <row r="35" spans="1:18" s="109" customFormat="1" ht="12.75" customHeight="1">
      <c r="A35" s="288"/>
      <c r="B35" s="961"/>
      <c r="C35" s="943" t="s">
        <v>30</v>
      </c>
      <c r="D35" s="944"/>
      <c r="E35" s="927">
        <v>200000</v>
      </c>
      <c r="F35" s="928"/>
      <c r="G35" s="927">
        <v>280000</v>
      </c>
      <c r="H35" s="928"/>
      <c r="I35" s="241"/>
      <c r="J35" s="313"/>
      <c r="K35" s="313"/>
      <c r="L35" s="313"/>
      <c r="M35" s="288"/>
      <c r="N35" s="286"/>
      <c r="O35" s="288"/>
      <c r="P35" s="288"/>
      <c r="Q35" s="288"/>
      <c r="R35" s="288"/>
    </row>
    <row r="36" spans="1:18" s="112" customFormat="1" ht="12.75" customHeight="1">
      <c r="A36" s="288"/>
      <c r="B36" s="961"/>
      <c r="C36" s="943" t="s">
        <v>33</v>
      </c>
      <c r="D36" s="944"/>
      <c r="E36" s="927">
        <v>30000</v>
      </c>
      <c r="F36" s="928"/>
      <c r="G36" s="927">
        <v>40000</v>
      </c>
      <c r="H36" s="928"/>
      <c r="I36" s="241"/>
      <c r="J36" s="313"/>
      <c r="K36" s="313"/>
      <c r="L36" s="313"/>
      <c r="M36" s="288"/>
      <c r="N36" s="286"/>
      <c r="O36" s="288"/>
      <c r="P36" s="288"/>
      <c r="Q36" s="288"/>
      <c r="R36" s="288"/>
    </row>
    <row r="37" spans="1:18" s="109" customFormat="1" ht="12.75" customHeight="1">
      <c r="A37" s="288"/>
      <c r="B37" s="961"/>
      <c r="C37" s="943" t="s">
        <v>40</v>
      </c>
      <c r="D37" s="944"/>
      <c r="E37" s="927">
        <v>25000</v>
      </c>
      <c r="F37" s="928"/>
      <c r="G37" s="927">
        <v>30000</v>
      </c>
      <c r="H37" s="928"/>
      <c r="I37" s="241"/>
      <c r="J37" s="313"/>
      <c r="K37" s="313"/>
      <c r="L37" s="313"/>
      <c r="M37" s="288"/>
      <c r="N37" s="286"/>
      <c r="O37" s="288"/>
      <c r="P37" s="288"/>
      <c r="Q37" s="288"/>
      <c r="R37" s="288"/>
    </row>
    <row r="38" spans="1:18" s="112" customFormat="1" ht="12.75" customHeight="1">
      <c r="A38" s="288"/>
      <c r="B38" s="961"/>
      <c r="C38" s="943" t="s">
        <v>42</v>
      </c>
      <c r="D38" s="944"/>
      <c r="E38" s="927">
        <v>32000</v>
      </c>
      <c r="F38" s="928"/>
      <c r="G38" s="927">
        <v>45000</v>
      </c>
      <c r="H38" s="928"/>
      <c r="I38" s="241"/>
      <c r="J38" s="313"/>
      <c r="K38" s="313"/>
      <c r="L38" s="313"/>
      <c r="M38" s="288"/>
      <c r="N38" s="286"/>
      <c r="O38" s="288"/>
      <c r="P38" s="288"/>
      <c r="Q38" s="288"/>
      <c r="R38" s="288"/>
    </row>
    <row r="39" spans="1:18" s="112" customFormat="1" ht="12.75" customHeight="1">
      <c r="A39" s="288"/>
      <c r="B39" s="961"/>
      <c r="C39" s="943" t="s">
        <v>145</v>
      </c>
      <c r="D39" s="944"/>
      <c r="E39" s="927">
        <v>30000</v>
      </c>
      <c r="F39" s="928"/>
      <c r="G39" s="927">
        <v>40000</v>
      </c>
      <c r="H39" s="928"/>
      <c r="I39" s="241"/>
      <c r="J39" s="313"/>
      <c r="K39" s="313"/>
      <c r="L39" s="313"/>
      <c r="M39" s="288"/>
      <c r="N39" s="286"/>
    </row>
    <row r="40" spans="1:18" s="112" customFormat="1" ht="12.75" customHeight="1">
      <c r="A40" s="288"/>
      <c r="B40" s="961"/>
      <c r="C40" s="943" t="s">
        <v>44</v>
      </c>
      <c r="D40" s="944"/>
      <c r="E40" s="927">
        <v>65000</v>
      </c>
      <c r="F40" s="928"/>
      <c r="G40" s="927">
        <v>85000</v>
      </c>
      <c r="H40" s="928"/>
      <c r="I40" s="241"/>
      <c r="J40" s="313"/>
      <c r="K40" s="313"/>
      <c r="L40" s="313"/>
      <c r="M40" s="288"/>
      <c r="N40" s="286"/>
    </row>
    <row r="41" spans="1:18" s="112" customFormat="1" ht="12.75" customHeight="1">
      <c r="A41" s="288"/>
      <c r="B41" s="961"/>
      <c r="C41" s="943" t="s">
        <v>46</v>
      </c>
      <c r="D41" s="944"/>
      <c r="E41" s="927">
        <v>25000</v>
      </c>
      <c r="F41" s="928"/>
      <c r="G41" s="927">
        <v>30000</v>
      </c>
      <c r="H41" s="928"/>
      <c r="I41" s="241"/>
      <c r="J41" s="313"/>
      <c r="K41" s="313"/>
      <c r="L41" s="313"/>
      <c r="M41" s="288"/>
      <c r="N41" s="286"/>
    </row>
    <row r="42" spans="1:18" s="112" customFormat="1" ht="12.75" customHeight="1">
      <c r="A42" s="288"/>
      <c r="B42" s="961"/>
      <c r="C42" s="943" t="s">
        <v>43</v>
      </c>
      <c r="D42" s="944"/>
      <c r="E42" s="927">
        <v>25000</v>
      </c>
      <c r="F42" s="928"/>
      <c r="G42" s="927">
        <v>30000</v>
      </c>
      <c r="H42" s="928"/>
      <c r="I42" s="241"/>
      <c r="J42" s="313"/>
      <c r="K42" s="313"/>
      <c r="L42" s="313"/>
      <c r="M42" s="288"/>
      <c r="N42" s="286"/>
    </row>
    <row r="43" spans="1:18" s="109" customFormat="1" ht="12.75" customHeight="1">
      <c r="A43" s="288"/>
      <c r="B43" s="961"/>
      <c r="C43" s="959" t="s">
        <v>37</v>
      </c>
      <c r="D43" s="960"/>
      <c r="E43" s="953">
        <v>80000</v>
      </c>
      <c r="F43" s="954"/>
      <c r="G43" s="953">
        <v>100000</v>
      </c>
      <c r="H43" s="954"/>
      <c r="I43" s="241"/>
      <c r="J43" s="313"/>
      <c r="K43" s="313"/>
      <c r="L43" s="313"/>
      <c r="M43" s="288"/>
      <c r="N43" s="286"/>
    </row>
    <row r="44" spans="1:18" s="240" customFormat="1" ht="12.75" customHeight="1">
      <c r="A44" s="288"/>
      <c r="B44" s="236"/>
      <c r="C44" s="239"/>
      <c r="D44" s="239"/>
      <c r="E44" s="238"/>
      <c r="F44" s="238"/>
      <c r="G44" s="238"/>
      <c r="H44" s="238"/>
      <c r="I44" s="241"/>
      <c r="J44" s="313"/>
      <c r="K44" s="313"/>
      <c r="L44" s="313"/>
      <c r="M44" s="288"/>
      <c r="N44" s="286"/>
    </row>
    <row r="45" spans="1:18" s="111" customFormat="1" ht="12.75" customHeight="1">
      <c r="A45" s="288"/>
      <c r="B45" s="288"/>
      <c r="C45" s="113"/>
      <c r="D45" s="113"/>
      <c r="E45" s="114"/>
      <c r="F45" s="114"/>
      <c r="G45" s="114"/>
      <c r="H45" s="114"/>
      <c r="I45" s="313"/>
      <c r="J45" s="313"/>
      <c r="K45" s="313"/>
      <c r="L45" s="288"/>
      <c r="M45" s="286"/>
      <c r="N45" s="288"/>
    </row>
    <row r="46" spans="1:18" s="118" customFormat="1" ht="12.75" customHeight="1">
      <c r="A46" s="288"/>
      <c r="B46" s="288"/>
      <c r="C46" s="955" t="str">
        <f>IF('Język - Language'!$B$30="Polski",CONCATENATE("SPONSORING NAGŁÓWKA SEKCJI WP SG",CHAR(10),"MIEJSCE EMISJI"),CONCATENATE("SPONSORING OF WP HP SECTION HEADING",CHAR(10),"PLACE OF EMISSION"))</f>
        <v>SPONSORING NAGŁÓWKA SEKCJI WP SG
MIEJSCE EMISJI</v>
      </c>
      <c r="D46" s="955"/>
      <c r="E46" s="956" t="str">
        <f>IF('Język - Language'!$B$30="Polski","MODEL EMISJI","MODEL OF EMISSION")</f>
        <v>MODEL EMISJI</v>
      </c>
      <c r="F46" s="957" t="s">
        <v>190</v>
      </c>
      <c r="G46" s="957"/>
      <c r="H46" s="958"/>
      <c r="I46" s="313"/>
      <c r="J46" s="313"/>
      <c r="K46" s="313"/>
      <c r="L46" s="288"/>
      <c r="M46" s="286"/>
      <c r="N46" s="288"/>
    </row>
    <row r="47" spans="1:18" s="288" customFormat="1" ht="12.75" customHeight="1">
      <c r="C47" s="955"/>
      <c r="D47" s="955"/>
      <c r="E47" s="956"/>
      <c r="F47" s="213" t="str">
        <f>IF('Język - Language'!$B$30="Polski","DZIEŃ","1 DAY")</f>
        <v>DZIEŃ</v>
      </c>
      <c r="G47" s="213" t="str">
        <f>IF('Język - Language'!$B$30="Polski","TYDZIEŃ","1 WEEK")</f>
        <v>TYDZIEŃ</v>
      </c>
      <c r="H47" s="214" t="str">
        <f>IF('Język - Language'!$B$30="Polski","MIESIĄC","1 MONTH")</f>
        <v>MIESIĄC</v>
      </c>
      <c r="I47" s="481"/>
      <c r="J47" s="481"/>
      <c r="K47" s="481"/>
      <c r="M47" s="286"/>
    </row>
    <row r="48" spans="1:18" s="118" customFormat="1" ht="12.75" customHeight="1">
      <c r="A48" s="288"/>
      <c r="B48" s="961" t="s">
        <v>32</v>
      </c>
      <c r="C48" s="647" t="s">
        <v>48</v>
      </c>
      <c r="D48" s="200"/>
      <c r="E48" s="984" t="str">
        <f>IF('Język - Language'!$B$30="Polski","Flat Fee","Flat Fee")</f>
        <v>Flat Fee</v>
      </c>
      <c r="F48" s="641">
        <v>39600</v>
      </c>
      <c r="G48" s="641">
        <v>198000</v>
      </c>
      <c r="H48" s="642">
        <v>495000</v>
      </c>
      <c r="I48" s="313"/>
      <c r="J48" s="313"/>
      <c r="K48" s="313"/>
      <c r="L48" s="288"/>
      <c r="M48" s="286"/>
      <c r="N48" s="288"/>
    </row>
    <row r="49" spans="1:17" s="118" customFormat="1" ht="12.75" customHeight="1">
      <c r="A49" s="288"/>
      <c r="B49" s="961"/>
      <c r="C49" s="648" t="s">
        <v>49</v>
      </c>
      <c r="D49" s="201"/>
      <c r="E49" s="984"/>
      <c r="F49" s="643">
        <v>32760</v>
      </c>
      <c r="G49" s="643">
        <v>163800</v>
      </c>
      <c r="H49" s="644">
        <v>409500</v>
      </c>
      <c r="I49" s="313"/>
      <c r="J49" s="313"/>
      <c r="K49" s="313"/>
      <c r="L49" s="288"/>
      <c r="M49" s="286"/>
      <c r="N49" s="288"/>
    </row>
    <row r="50" spans="1:17" s="118" customFormat="1" ht="12.75" customHeight="1">
      <c r="A50" s="288"/>
      <c r="B50" s="961"/>
      <c r="C50" s="648" t="s">
        <v>50</v>
      </c>
      <c r="D50" s="201"/>
      <c r="E50" s="984"/>
      <c r="F50" s="643">
        <v>29160</v>
      </c>
      <c r="G50" s="643">
        <v>145800</v>
      </c>
      <c r="H50" s="643">
        <v>364500</v>
      </c>
      <c r="I50" s="313"/>
      <c r="J50" s="313"/>
      <c r="K50" s="313"/>
      <c r="L50" s="288"/>
      <c r="M50" s="286"/>
      <c r="N50" s="288"/>
    </row>
    <row r="51" spans="1:17" s="118" customFormat="1" ht="12.75" customHeight="1">
      <c r="A51" s="288"/>
      <c r="B51" s="961"/>
      <c r="C51" s="648" t="s">
        <v>51</v>
      </c>
      <c r="D51" s="201"/>
      <c r="E51" s="984"/>
      <c r="F51" s="643">
        <v>22680</v>
      </c>
      <c r="G51" s="643">
        <v>113400</v>
      </c>
      <c r="H51" s="643">
        <v>283500</v>
      </c>
      <c r="I51" s="313"/>
      <c r="J51" s="313"/>
      <c r="K51" s="313"/>
      <c r="L51" s="288"/>
      <c r="M51" s="286"/>
      <c r="N51" s="288"/>
    </row>
    <row r="52" spans="1:17" s="119" customFormat="1" ht="12.75" customHeight="1">
      <c r="A52" s="288"/>
      <c r="B52" s="961"/>
      <c r="C52" s="648" t="s">
        <v>52</v>
      </c>
      <c r="D52" s="201"/>
      <c r="E52" s="984"/>
      <c r="F52" s="643">
        <v>25560</v>
      </c>
      <c r="G52" s="643">
        <v>127800</v>
      </c>
      <c r="H52" s="644">
        <v>319500</v>
      </c>
      <c r="I52" s="313"/>
      <c r="J52" s="313"/>
      <c r="K52" s="313"/>
      <c r="L52" s="288"/>
      <c r="M52" s="286"/>
      <c r="N52" s="288"/>
    </row>
    <row r="53" spans="1:17" s="120" customFormat="1" ht="12.75" customHeight="1">
      <c r="A53" s="288"/>
      <c r="B53" s="961"/>
      <c r="C53" s="649" t="s">
        <v>53</v>
      </c>
      <c r="D53" s="201"/>
      <c r="E53" s="984"/>
      <c r="F53" s="643">
        <v>24120</v>
      </c>
      <c r="G53" s="644">
        <v>120600</v>
      </c>
      <c r="H53" s="644">
        <v>301500</v>
      </c>
      <c r="I53" s="313"/>
      <c r="J53" s="313"/>
      <c r="K53" s="313"/>
      <c r="L53" s="288"/>
      <c r="M53" s="286"/>
      <c r="N53" s="288"/>
      <c r="O53" s="288"/>
      <c r="P53" s="288"/>
      <c r="Q53" s="288"/>
    </row>
    <row r="54" spans="1:17" s="120" customFormat="1" ht="12.75" customHeight="1">
      <c r="A54" s="288"/>
      <c r="B54" s="961"/>
      <c r="C54" s="650" t="s">
        <v>54</v>
      </c>
      <c r="D54" s="202"/>
      <c r="E54" s="985"/>
      <c r="F54" s="645">
        <v>21600</v>
      </c>
      <c r="G54" s="646">
        <v>108000</v>
      </c>
      <c r="H54" s="646">
        <v>270000</v>
      </c>
      <c r="I54" s="313"/>
      <c r="J54" s="313"/>
      <c r="K54" s="313"/>
      <c r="L54" s="288"/>
      <c r="M54" s="286"/>
      <c r="N54" s="288"/>
      <c r="O54" s="288"/>
      <c r="P54" s="288"/>
      <c r="Q54" s="288"/>
    </row>
    <row r="55" spans="1:17" s="240" customFormat="1" ht="12.75" customHeight="1">
      <c r="A55" s="288"/>
      <c r="B55" s="236"/>
      <c r="C55" s="234"/>
      <c r="D55" s="234"/>
      <c r="E55" s="333"/>
      <c r="F55" s="235"/>
      <c r="G55" s="235"/>
      <c r="H55" s="235"/>
      <c r="I55" s="313"/>
      <c r="J55" s="313"/>
      <c r="K55" s="313"/>
      <c r="L55" s="288"/>
      <c r="M55" s="286"/>
      <c r="N55" s="288"/>
      <c r="O55" s="288"/>
      <c r="P55" s="288"/>
      <c r="Q55" s="288"/>
    </row>
    <row r="56" spans="1:17">
      <c r="A56" s="288"/>
      <c r="B56" s="288"/>
      <c r="C56" s="32"/>
      <c r="D56" s="32"/>
      <c r="E56" s="32"/>
      <c r="F56" s="32"/>
      <c r="G56" s="32"/>
      <c r="H56" s="32"/>
      <c r="I56" s="32"/>
      <c r="J56" s="32"/>
      <c r="K56" s="32"/>
      <c r="L56" s="32"/>
      <c r="M56" s="32"/>
      <c r="N56" s="32"/>
      <c r="O56" s="32"/>
      <c r="P56" s="80"/>
      <c r="Q56" s="286"/>
    </row>
    <row r="57" spans="1:17" ht="25.5" customHeight="1">
      <c r="A57" s="288"/>
      <c r="B57" s="288"/>
      <c r="C57" s="197" t="str">
        <f>IF('Język - Language'!$B$30="Polski",CONCATENATE("POZOSTAŁE EMISJE FLAT FEE",CHAR(10),"MIEJSCE EMISJI"),CONCATENATE("OTHER FLAT FEE EMISSION",CHAR(10),"PLACE OF EMISSION"))</f>
        <v>POZOSTAŁE EMISJE FLAT FEE
MIEJSCE EMISJI</v>
      </c>
      <c r="D57" s="392" t="str">
        <f>IF('Język - Language'!$B$30="Polski","SEKCJA","PLACE OF EMISSION")</f>
        <v>SEKCJA</v>
      </c>
      <c r="E57" s="392" t="str">
        <f>IF('Język - Language'!$B$30="Polski","MODEL EMISJI","MODEL OF EMISSION")</f>
        <v>MODEL EMISJI</v>
      </c>
      <c r="F57" s="847" t="str">
        <f>IF('Język - Language'!$B$30="Polski","FORMAT","FORMAT")</f>
        <v>FORMAT</v>
      </c>
      <c r="G57" s="847"/>
      <c r="H57" s="393" t="str">
        <f>IF('Język - Language'!$B$30="Polski","CENA","PRICE")</f>
        <v>CENA</v>
      </c>
      <c r="I57" s="288"/>
      <c r="J57" s="288"/>
      <c r="K57" s="288"/>
      <c r="L57" s="288"/>
      <c r="M57" s="288"/>
      <c r="N57" s="288"/>
      <c r="O57" s="288"/>
      <c r="P57" s="288"/>
      <c r="Q57" s="288"/>
    </row>
    <row r="58" spans="1:17" s="288" customFormat="1" ht="12.75" customHeight="1">
      <c r="B58" s="961" t="s">
        <v>32</v>
      </c>
      <c r="C58" s="967" t="s">
        <v>29</v>
      </c>
      <c r="D58" s="484" t="s">
        <v>171</v>
      </c>
      <c r="E58" s="969" t="str">
        <f>IF('Język - Language'!$B$30="Polski","Flat Fee / dzień","Flat Fee / 1 day")</f>
        <v>Flat Fee / dzień</v>
      </c>
      <c r="F58" s="971" t="str">
        <f>IF('Język - Language'!$B$30="Polski","Linkt tesktowy w sekcji na WP SG (kierujący na zewnątrz)","Text link in the selected section of WP Home Page (linking outside)")</f>
        <v>Linkt tesktowy w sekcji na WP SG (kierujący na zewnątrz)</v>
      </c>
      <c r="G58" s="972"/>
      <c r="H58" s="486" t="s">
        <v>186</v>
      </c>
    </row>
    <row r="59" spans="1:17" s="288" customFormat="1" ht="12.75" customHeight="1">
      <c r="B59" s="961"/>
      <c r="C59" s="967"/>
      <c r="D59" s="485" t="s">
        <v>48</v>
      </c>
      <c r="E59" s="969"/>
      <c r="F59" s="971"/>
      <c r="G59" s="972"/>
      <c r="H59" s="487" t="s">
        <v>187</v>
      </c>
    </row>
    <row r="60" spans="1:17" s="288" customFormat="1" ht="12.75" customHeight="1">
      <c r="B60" s="961"/>
      <c r="C60" s="968"/>
      <c r="D60" s="483" t="s">
        <v>173</v>
      </c>
      <c r="E60" s="970"/>
      <c r="F60" s="973"/>
      <c r="G60" s="974"/>
      <c r="H60" s="488" t="s">
        <v>187</v>
      </c>
    </row>
    <row r="61" spans="1:17" s="79" customFormat="1" ht="12.75" customHeight="1">
      <c r="A61" s="288"/>
      <c r="B61" s="961"/>
      <c r="C61" s="975" t="s">
        <v>269</v>
      </c>
      <c r="D61" s="980" t="s">
        <v>270</v>
      </c>
      <c r="E61" s="434" t="str">
        <f>IF('Język - Language'!$B$30="Polski","Flat Fee / dzień","Flat Fee / 1 day")</f>
        <v>Flat Fee / dzień</v>
      </c>
      <c r="F61" s="964" t="s">
        <v>172</v>
      </c>
      <c r="G61" s="965"/>
      <c r="H61" s="397" t="s">
        <v>187</v>
      </c>
      <c r="I61" s="288"/>
      <c r="J61" s="80"/>
      <c r="K61" s="288"/>
      <c r="L61" s="288"/>
      <c r="M61" s="288"/>
      <c r="N61" s="288"/>
      <c r="O61" s="288"/>
      <c r="P61" s="288"/>
      <c r="Q61" s="288"/>
    </row>
    <row r="62" spans="1:17" s="79" customFormat="1" ht="12.75" customHeight="1">
      <c r="A62" s="288"/>
      <c r="B62" s="961"/>
      <c r="C62" s="976"/>
      <c r="D62" s="981"/>
      <c r="E62" s="433" t="str">
        <f>IF('Język - Language'!$B$30="Polski","Flat Fee / tydzień","Flat Fee / 1 week")</f>
        <v>Flat Fee / tydzień</v>
      </c>
      <c r="F62" s="986" t="s">
        <v>172</v>
      </c>
      <c r="G62" s="987"/>
      <c r="H62" s="232" t="s">
        <v>272</v>
      </c>
      <c r="I62" s="288"/>
      <c r="J62" s="80"/>
      <c r="K62" s="288"/>
      <c r="L62" s="288"/>
      <c r="M62" s="288"/>
      <c r="N62" s="288"/>
      <c r="O62" s="288"/>
      <c r="P62" s="288"/>
      <c r="Q62" s="288"/>
    </row>
    <row r="63" spans="1:17" s="79" customFormat="1" ht="12.75" customHeight="1">
      <c r="A63" s="288"/>
      <c r="B63" s="961"/>
      <c r="C63" s="977" t="s">
        <v>55</v>
      </c>
      <c r="D63" s="982" t="s">
        <v>271</v>
      </c>
      <c r="E63" s="203" t="str">
        <f>IF('Język - Language'!$B$30="Polski","Flat Fee / dzień","Flat Fee / 1 day")</f>
        <v>Flat Fee / dzień</v>
      </c>
      <c r="F63" s="951" t="str">
        <f>IF('Język - Language'!$B$30="Polski","Halfpage","Halfpage")</f>
        <v>Halfpage</v>
      </c>
      <c r="G63" s="952"/>
      <c r="H63" s="231" t="s">
        <v>188</v>
      </c>
      <c r="I63" s="288"/>
      <c r="J63" s="80"/>
      <c r="K63" s="288"/>
      <c r="L63" s="288"/>
      <c r="M63" s="288"/>
      <c r="N63" s="288"/>
      <c r="O63" s="288"/>
      <c r="P63" s="288"/>
      <c r="Q63" s="288"/>
    </row>
    <row r="64" spans="1:17" s="79" customFormat="1" ht="12.75" customHeight="1">
      <c r="A64" s="288"/>
      <c r="B64" s="966"/>
      <c r="C64" s="976"/>
      <c r="D64" s="983"/>
      <c r="E64" s="335" t="str">
        <f>IF('Język - Language'!$B$30="Polski","Flat Fee / tydzień","Flat Fee / 1 week")</f>
        <v>Flat Fee / tydzień</v>
      </c>
      <c r="F64" s="962" t="str">
        <f>IF('Język - Language'!$B$30="Polski","Halfpage","Halfpage")</f>
        <v>Halfpage</v>
      </c>
      <c r="G64" s="963"/>
      <c r="H64" s="233" t="s">
        <v>189</v>
      </c>
      <c r="I64" s="288"/>
      <c r="J64" s="80"/>
      <c r="K64" s="288"/>
      <c r="L64" s="288"/>
      <c r="M64" s="288"/>
      <c r="N64" s="288"/>
      <c r="O64" s="288"/>
      <c r="P64" s="288"/>
      <c r="Q64" s="288"/>
    </row>
    <row r="65" spans="1:15">
      <c r="C65" s="193" t="str">
        <f>IF('Język - Language'!$B$30="Polski","¹ cena uzależniona od statystyk w wybrane dni ","¹ price depends on daily statistics on a given day")</f>
        <v xml:space="preserve">¹ cena uzależniona od statystyk w wybrane dni </v>
      </c>
      <c r="D65" s="305"/>
      <c r="E65" s="305"/>
      <c r="F65" s="305"/>
      <c r="G65" s="305"/>
      <c r="H65" s="305"/>
      <c r="I65" s="288"/>
      <c r="J65" s="288"/>
      <c r="K65" s="288"/>
      <c r="L65" s="80"/>
      <c r="M65" s="288"/>
      <c r="N65" s="288"/>
      <c r="O65" s="288"/>
    </row>
    <row r="66" spans="1:15" ht="12.75" customHeight="1">
      <c r="C66" s="288"/>
      <c r="D66" s="288"/>
      <c r="E66" s="288"/>
      <c r="F66" s="288"/>
      <c r="G66" s="288"/>
      <c r="H66" s="288"/>
      <c r="I66" s="288"/>
      <c r="J66" s="288"/>
      <c r="K66" s="288"/>
      <c r="L66" s="288"/>
      <c r="M66" s="288"/>
      <c r="N66" s="288"/>
      <c r="O66" s="286"/>
    </row>
    <row r="68" spans="1:15">
      <c r="C68" s="107"/>
      <c r="D68" s="107"/>
      <c r="E68" s="107"/>
      <c r="F68" s="107"/>
      <c r="G68" s="107"/>
      <c r="H68" s="286"/>
      <c r="I68" s="288"/>
      <c r="J68" s="288"/>
      <c r="K68" s="288"/>
      <c r="L68" s="288"/>
      <c r="M68" s="288"/>
      <c r="N68" s="288"/>
      <c r="O68" s="288"/>
    </row>
    <row r="70" spans="1:15" ht="12.75" customHeight="1">
      <c r="A70" s="65"/>
      <c r="C70" s="108"/>
      <c r="D70" s="978"/>
      <c r="E70" s="979"/>
      <c r="F70" s="336"/>
      <c r="G70" s="107"/>
      <c r="H70" s="286"/>
      <c r="I70" s="288"/>
      <c r="J70" s="288"/>
      <c r="K70" s="288"/>
      <c r="L70" s="288"/>
      <c r="M70" s="288"/>
      <c r="N70" s="288"/>
      <c r="O70" s="288"/>
    </row>
    <row r="71" spans="1:15" ht="12.75" customHeight="1">
      <c r="A71" s="65"/>
      <c r="C71" s="108"/>
      <c r="D71" s="978"/>
      <c r="E71" s="979"/>
      <c r="F71" s="336"/>
      <c r="G71" s="107"/>
      <c r="H71" s="286"/>
      <c r="I71" s="288"/>
      <c r="J71" s="288"/>
      <c r="K71" s="288"/>
      <c r="L71" s="288"/>
      <c r="M71" s="288"/>
      <c r="N71" s="288"/>
      <c r="O71" s="288"/>
    </row>
    <row r="72" spans="1:15" ht="12.75" customHeight="1">
      <c r="A72" s="65"/>
      <c r="C72" s="108"/>
      <c r="D72" s="978"/>
      <c r="E72" s="979"/>
      <c r="F72" s="336"/>
      <c r="G72" s="107"/>
      <c r="H72" s="286"/>
      <c r="I72" s="288"/>
      <c r="J72" s="288"/>
      <c r="K72" s="288"/>
      <c r="L72" s="288"/>
      <c r="M72" s="288"/>
      <c r="N72" s="288"/>
      <c r="O72" s="288"/>
    </row>
    <row r="73" spans="1:15" ht="12.75" customHeight="1">
      <c r="A73" s="65"/>
      <c r="C73" s="108"/>
      <c r="D73" s="978"/>
      <c r="E73" s="979"/>
      <c r="F73" s="336"/>
      <c r="G73" s="107"/>
      <c r="H73" s="286"/>
      <c r="I73" s="309"/>
      <c r="J73" s="288"/>
      <c r="K73" s="288"/>
      <c r="L73" s="288"/>
      <c r="M73" s="288"/>
      <c r="N73" s="288"/>
      <c r="O73" s="288"/>
    </row>
    <row r="74" spans="1:15">
      <c r="A74" s="65"/>
      <c r="C74" s="108"/>
      <c r="D74" s="978"/>
      <c r="E74" s="336"/>
      <c r="F74" s="336"/>
      <c r="G74" s="107"/>
      <c r="H74" s="286"/>
      <c r="I74" s="309"/>
      <c r="J74" s="288"/>
      <c r="K74" s="288"/>
      <c r="L74" s="288"/>
      <c r="M74" s="288"/>
      <c r="N74" s="288"/>
      <c r="O74" s="288"/>
    </row>
    <row r="75" spans="1:15">
      <c r="A75" s="65"/>
      <c r="C75" s="288"/>
      <c r="D75" s="288"/>
      <c r="E75" s="288"/>
      <c r="F75" s="288"/>
      <c r="G75" s="288"/>
      <c r="H75" s="288"/>
      <c r="I75" s="309"/>
      <c r="J75" s="288"/>
      <c r="K75" s="288"/>
      <c r="L75" s="288"/>
      <c r="M75" s="288"/>
      <c r="N75" s="288"/>
      <c r="O75" s="288"/>
    </row>
    <row r="76" spans="1:15">
      <c r="A76" s="65"/>
      <c r="C76" s="288"/>
      <c r="D76" s="288"/>
      <c r="E76" s="288"/>
      <c r="F76" s="288"/>
      <c r="G76" s="288"/>
      <c r="H76" s="288"/>
      <c r="I76" s="309"/>
      <c r="J76" s="288"/>
      <c r="K76" s="288"/>
      <c r="L76" s="288"/>
      <c r="M76" s="288"/>
      <c r="N76" s="288"/>
      <c r="O76" s="288"/>
    </row>
  </sheetData>
  <mergeCells count="89">
    <mergeCell ref="B9:B27"/>
    <mergeCell ref="B32:B43"/>
    <mergeCell ref="E38:F38"/>
    <mergeCell ref="G41:H41"/>
    <mergeCell ref="G19:H19"/>
    <mergeCell ref="C35:D35"/>
    <mergeCell ref="C36:D36"/>
    <mergeCell ref="G42:H42"/>
    <mergeCell ref="G36:H36"/>
    <mergeCell ref="G40:H40"/>
    <mergeCell ref="E40:F40"/>
    <mergeCell ref="C31:D31"/>
    <mergeCell ref="C32:D32"/>
    <mergeCell ref="G15:H15"/>
    <mergeCell ref="D18:D27"/>
    <mergeCell ref="E36:F36"/>
    <mergeCell ref="E35:F35"/>
    <mergeCell ref="G34:H34"/>
    <mergeCell ref="G26:H26"/>
    <mergeCell ref="E26:F27"/>
    <mergeCell ref="G24:H24"/>
    <mergeCell ref="D70:D74"/>
    <mergeCell ref="E70:E73"/>
    <mergeCell ref="E41:F41"/>
    <mergeCell ref="D61:D62"/>
    <mergeCell ref="D63:D64"/>
    <mergeCell ref="E48:E54"/>
    <mergeCell ref="F62:G62"/>
    <mergeCell ref="B48:B54"/>
    <mergeCell ref="F64:G64"/>
    <mergeCell ref="F61:G61"/>
    <mergeCell ref="B58:B64"/>
    <mergeCell ref="C58:C60"/>
    <mergeCell ref="E58:E60"/>
    <mergeCell ref="F58:G60"/>
    <mergeCell ref="F57:G57"/>
    <mergeCell ref="C61:C62"/>
    <mergeCell ref="C63:C64"/>
    <mergeCell ref="C39:D39"/>
    <mergeCell ref="E39:F39"/>
    <mergeCell ref="G39:H39"/>
    <mergeCell ref="F63:G63"/>
    <mergeCell ref="G43:H43"/>
    <mergeCell ref="C46:D47"/>
    <mergeCell ref="E46:E47"/>
    <mergeCell ref="F46:H46"/>
    <mergeCell ref="E42:F42"/>
    <mergeCell ref="C40:D40"/>
    <mergeCell ref="E43:F43"/>
    <mergeCell ref="C41:D41"/>
    <mergeCell ref="C42:D42"/>
    <mergeCell ref="C43:D43"/>
    <mergeCell ref="G38:H38"/>
    <mergeCell ref="E34:F34"/>
    <mergeCell ref="G35:H35"/>
    <mergeCell ref="C16:C17"/>
    <mergeCell ref="E15:F15"/>
    <mergeCell ref="E16:F17"/>
    <mergeCell ref="G17:H17"/>
    <mergeCell ref="G22:H22"/>
    <mergeCell ref="G20:H20"/>
    <mergeCell ref="G18:H18"/>
    <mergeCell ref="G16:H16"/>
    <mergeCell ref="C34:D34"/>
    <mergeCell ref="C37:D37"/>
    <mergeCell ref="C38:D38"/>
    <mergeCell ref="G37:H37"/>
    <mergeCell ref="E37:F37"/>
    <mergeCell ref="C9:C14"/>
    <mergeCell ref="E33:F33"/>
    <mergeCell ref="E18:F18"/>
    <mergeCell ref="G27:H27"/>
    <mergeCell ref="G33:H33"/>
    <mergeCell ref="G23:H23"/>
    <mergeCell ref="G25:H25"/>
    <mergeCell ref="E9:F14"/>
    <mergeCell ref="G14:H14"/>
    <mergeCell ref="G32:H32"/>
    <mergeCell ref="G21:H21"/>
    <mergeCell ref="C33:D33"/>
    <mergeCell ref="E32:F32"/>
    <mergeCell ref="E31:F31"/>
    <mergeCell ref="E19:F25"/>
    <mergeCell ref="G31:H31"/>
    <mergeCell ref="C7:C8"/>
    <mergeCell ref="D7:D8"/>
    <mergeCell ref="E7:F8"/>
    <mergeCell ref="E1:H3"/>
    <mergeCell ref="G7:H7"/>
  </mergeCells>
  <pageMargins left="0.7" right="0.7" top="0.75" bottom="0.75" header="0.3" footer="0.3"/>
  <pageSetup paperSize="256" scale="55" fitToHeight="0" orientation="landscape" r:id="rId1"/>
  <ignoredErrors>
    <ignoredError sqref="D15 D10 E63:E64 E62" formula="1"/>
  </ignoredError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8">
    <pageSetUpPr fitToPage="1"/>
  </sheetPr>
  <dimension ref="A1:AG141"/>
  <sheetViews>
    <sheetView zoomScaleNormal="100" workbookViewId="0">
      <pane ySplit="4" topLeftCell="A5" activePane="bottomLeft" state="frozen"/>
      <selection pane="bottomLeft"/>
    </sheetView>
  </sheetViews>
  <sheetFormatPr defaultColWidth="11.42578125" defaultRowHeight="12.75" outlineLevelRow="1"/>
  <cols>
    <col min="1" max="1" width="2.85546875" style="244" customWidth="1"/>
    <col min="2" max="2" width="2.85546875" style="2" customWidth="1"/>
    <col min="3" max="3" width="22.85546875" style="2" customWidth="1"/>
    <col min="4" max="5" width="20" style="97" customWidth="1"/>
    <col min="6" max="6" width="10.28515625" style="2" customWidth="1"/>
    <col min="7" max="7" width="10.28515625" style="97" customWidth="1"/>
    <col min="8" max="8" width="10.28515625" style="2" customWidth="1"/>
    <col min="9" max="9" width="10.28515625" style="97" customWidth="1"/>
    <col min="10" max="10" width="10.28515625" style="2" customWidth="1"/>
    <col min="11" max="11" width="10.28515625" style="97" customWidth="1"/>
    <col min="12" max="12" width="10.28515625" style="2" customWidth="1"/>
    <col min="13" max="13" width="10.28515625" style="97" customWidth="1"/>
    <col min="14" max="15" width="10.28515625" style="2" customWidth="1"/>
    <col min="16" max="16" width="10.85546875" style="2" customWidth="1"/>
    <col min="17" max="17" width="10.85546875" style="288" customWidth="1"/>
    <col min="18" max="23" width="10.85546875" style="2" customWidth="1"/>
    <col min="24" max="24" width="10" style="2" customWidth="1"/>
    <col min="25" max="25" width="9.140625" style="2" customWidth="1"/>
    <col min="26" max="27" width="9" style="2" customWidth="1"/>
    <col min="28" max="28" width="9.140625" style="2" customWidth="1"/>
    <col min="29" max="29" width="8.5703125" style="2" customWidth="1"/>
    <col min="30" max="30" width="10.5703125" style="2" customWidth="1"/>
    <col min="31" max="33" width="7.85546875" style="2" customWidth="1"/>
    <col min="34" max="16384" width="11.42578125" style="2"/>
  </cols>
  <sheetData>
    <row r="1" spans="1:33" ht="12.75" customHeight="1">
      <c r="A1" s="288"/>
      <c r="B1" s="288"/>
      <c r="C1" s="288"/>
      <c r="D1" s="288"/>
      <c r="E1" s="288"/>
      <c r="F1" s="18"/>
      <c r="H1" s="290"/>
      <c r="J1" s="290"/>
      <c r="K1" s="290"/>
      <c r="L1" s="290"/>
      <c r="M1" s="726" t="str">
        <f>IF('Język - Language'!$B$30="Polski",CONCATENATE("Cennik Reklamowy Wirtualna Polska Media S.A. - obowiązuje od 1.11.2019 r.",CHAR(10),"W celu zasięgnięcia dodatkowych informacji prosimy o kontakt z Biurem Reklamy,",CHAR(10),"reklama@grupawp.pl, tel. (+48) 22 57 63 900; fax (+48) 22 57 63 959"),CONCATENATE("Advertising price list of Wirtualna Polska Media S.A. - valid from November 1, 2019",CHAR(10),"For further information please contact the Advertising Office of WP,",CHAR(10),"reklama@grupawp.pl, phone (+48) 22 57 63 900; fax (+48) 22 57 63 959"))</f>
        <v>Cennik Reklamowy Wirtualna Polska Media S.A. - obowiązuje od 1.11.2019 r.
W celu zasięgnięcia dodatkowych informacji prosimy o kontakt z Biurem Reklamy,
reklama@grupawp.pl, tel. (+48) 22 57 63 900; fax (+48) 22 57 63 959</v>
      </c>
      <c r="N1" s="726"/>
      <c r="O1" s="726"/>
      <c r="P1" s="726"/>
      <c r="Q1" s="726"/>
      <c r="R1" s="726"/>
      <c r="S1" s="726"/>
      <c r="T1" s="290"/>
      <c r="U1" s="290"/>
      <c r="V1" s="290"/>
      <c r="W1" s="290"/>
      <c r="X1" s="290"/>
      <c r="Y1" s="290"/>
      <c r="Z1" s="290"/>
      <c r="AA1" s="290"/>
      <c r="AB1" s="290"/>
      <c r="AC1" s="290"/>
      <c r="AD1" s="290"/>
      <c r="AE1" s="288"/>
      <c r="AF1" s="288"/>
      <c r="AG1" s="288"/>
    </row>
    <row r="2" spans="1:33" ht="12.75" customHeight="1">
      <c r="A2" s="288"/>
      <c r="B2" s="288"/>
      <c r="C2" s="288"/>
      <c r="D2" s="288"/>
      <c r="E2" s="288"/>
      <c r="F2" s="18"/>
      <c r="G2" s="290"/>
      <c r="H2" s="290"/>
      <c r="I2" s="290"/>
      <c r="J2" s="290"/>
      <c r="K2" s="290"/>
      <c r="L2" s="290"/>
      <c r="M2" s="726"/>
      <c r="N2" s="726"/>
      <c r="O2" s="726"/>
      <c r="P2" s="726"/>
      <c r="Q2" s="726"/>
      <c r="R2" s="726"/>
      <c r="S2" s="726"/>
      <c r="T2" s="290"/>
      <c r="U2" s="290"/>
      <c r="V2" s="290"/>
      <c r="W2" s="290"/>
      <c r="X2" s="290"/>
      <c r="Y2" s="290"/>
      <c r="Z2" s="290"/>
      <c r="AA2" s="290"/>
      <c r="AB2" s="290"/>
      <c r="AC2" s="290"/>
      <c r="AD2" s="290"/>
      <c r="AE2" s="288"/>
      <c r="AF2" s="288"/>
      <c r="AG2" s="288"/>
    </row>
    <row r="3" spans="1:33" ht="12.75" customHeight="1">
      <c r="A3" s="288"/>
      <c r="B3" s="288"/>
      <c r="C3" s="288"/>
      <c r="D3" s="288"/>
      <c r="E3" s="288"/>
      <c r="F3" s="18"/>
      <c r="G3" s="290"/>
      <c r="H3" s="290"/>
      <c r="I3" s="290"/>
      <c r="J3" s="290"/>
      <c r="K3" s="290"/>
      <c r="L3" s="290"/>
      <c r="M3" s="726"/>
      <c r="N3" s="726"/>
      <c r="O3" s="726"/>
      <c r="P3" s="726"/>
      <c r="Q3" s="726"/>
      <c r="R3" s="726"/>
      <c r="S3" s="726"/>
      <c r="T3" s="290"/>
      <c r="U3" s="290"/>
      <c r="V3" s="290"/>
      <c r="W3" s="290"/>
      <c r="X3" s="290"/>
      <c r="Y3" s="290"/>
      <c r="Z3" s="290"/>
      <c r="AA3" s="290"/>
      <c r="AB3" s="290"/>
      <c r="AC3" s="290"/>
      <c r="AD3" s="290"/>
      <c r="AE3" s="288"/>
      <c r="AF3" s="288"/>
      <c r="AG3" s="288"/>
    </row>
    <row r="4" spans="1:33" s="34" customFormat="1" ht="12.75" customHeight="1">
      <c r="A4" s="291"/>
      <c r="B4" s="291"/>
      <c r="C4" s="35" t="str">
        <f>IF('Język - Language'!$B$30="Polski","            Pakiety tematyczne, zasięgowe oraz reklama na serwisie","             Packages")</f>
        <v xml:space="preserve">            Pakiety tematyczne, zasięgowe oraz reklama na serwisie</v>
      </c>
      <c r="D4" s="35"/>
      <c r="E4" s="291"/>
      <c r="F4" s="291"/>
      <c r="G4" s="291"/>
      <c r="H4" s="291"/>
      <c r="I4" s="291"/>
      <c r="J4" s="291"/>
      <c r="K4" s="291"/>
      <c r="L4" s="291"/>
      <c r="M4" s="291"/>
      <c r="N4" s="291"/>
      <c r="P4" s="291"/>
      <c r="Q4" s="291"/>
      <c r="R4" s="291"/>
      <c r="S4" s="285" t="str">
        <f>IF('Język - Language'!$B$30="Polski","PL","EN")</f>
        <v>PL</v>
      </c>
      <c r="T4" s="291"/>
      <c r="U4" s="291"/>
      <c r="V4" s="291"/>
      <c r="W4" s="291"/>
      <c r="X4" s="291"/>
      <c r="Y4" s="291"/>
      <c r="Z4" s="291"/>
      <c r="AA4" s="291"/>
      <c r="AB4" s="291"/>
      <c r="AC4" s="291"/>
      <c r="AD4" s="291"/>
      <c r="AE4" s="291"/>
      <c r="AF4" s="291"/>
      <c r="AG4" s="291"/>
    </row>
    <row r="5" spans="1:33" ht="12.75" customHeight="1">
      <c r="A5" s="288"/>
      <c r="B5" s="288"/>
      <c r="C5" s="288"/>
      <c r="D5" s="288"/>
      <c r="E5" s="288"/>
      <c r="F5" s="288"/>
      <c r="G5" s="288"/>
      <c r="H5" s="288"/>
      <c r="I5" s="288"/>
      <c r="J5" s="288"/>
      <c r="K5" s="288"/>
      <c r="L5" s="288"/>
      <c r="M5" s="288"/>
      <c r="N5" s="288"/>
      <c r="O5" s="288"/>
      <c r="P5" s="288"/>
      <c r="R5" s="288"/>
      <c r="S5" s="288"/>
      <c r="T5" s="288"/>
      <c r="U5" s="288"/>
      <c r="V5" s="288"/>
      <c r="W5" s="288"/>
      <c r="X5" s="288"/>
      <c r="Y5" s="288"/>
      <c r="Z5" s="288"/>
      <c r="AA5" s="288"/>
      <c r="AB5" s="288"/>
      <c r="AC5" s="288"/>
      <c r="AD5" s="288"/>
      <c r="AE5" s="288"/>
      <c r="AF5" s="288"/>
      <c r="AG5" s="288"/>
    </row>
    <row r="6" spans="1:33" ht="12.75" customHeight="1" thickBot="1">
      <c r="A6" s="288"/>
      <c r="B6"/>
      <c r="C6" s="278"/>
      <c r="D6" s="278"/>
      <c r="E6" s="278"/>
      <c r="F6" s="278"/>
      <c r="G6" s="278"/>
      <c r="H6" s="278"/>
      <c r="I6" s="278"/>
      <c r="J6" s="286"/>
      <c r="K6" s="286"/>
      <c r="L6" s="286"/>
      <c r="M6" s="286"/>
      <c r="N6" s="286"/>
      <c r="O6" s="286"/>
      <c r="P6" s="286"/>
      <c r="Q6" s="286"/>
      <c r="R6" s="286"/>
      <c r="S6" s="286"/>
      <c r="T6" s="286"/>
      <c r="U6" s="286"/>
      <c r="V6" s="286"/>
      <c r="W6" s="286"/>
      <c r="X6" s="286"/>
      <c r="Y6" s="286"/>
      <c r="Z6" s="286"/>
      <c r="AA6" s="286"/>
      <c r="AB6" s="286"/>
      <c r="AC6" s="286"/>
      <c r="AD6" s="286"/>
      <c r="AE6" s="286"/>
      <c r="AF6" s="286"/>
      <c r="AG6" s="286"/>
    </row>
    <row r="7" spans="1:33" s="244" customFormat="1" ht="12.75" customHeight="1" thickTop="1">
      <c r="A7" s="288"/>
      <c r="B7" s="277"/>
      <c r="C7" s="1025" t="str">
        <f>IF('Język - Language'!$B$30="Polski","KATEGORIE","CATEGORIES")</f>
        <v>KATEGORIE</v>
      </c>
      <c r="D7" s="766" t="str">
        <f>IF('Język - Language'!$B$30="Polski","MIEJSCE EMISJI","PLACE OF EMISSION")</f>
        <v>MIEJSCE EMISJI</v>
      </c>
      <c r="E7" s="1036" t="str">
        <f>IF('Język - Language'!$B$30="Polski","WIDZIALNE ODSŁONY","VIEWABLE IMPRESSIONS")</f>
        <v>WIDZIALNE ODSŁONY</v>
      </c>
      <c r="F7" s="1033" t="str">
        <f>IF('Język - Language'!$B$30="Polski","HALFPAGE","HALFPAGE")</f>
        <v>HALFPAGE</v>
      </c>
      <c r="G7" s="1034"/>
      <c r="H7" s="1034" t="str">
        <f>IF('Język - Language'!$B$30="Polski","CONTENT BOX 970x200","CONTENT BOX 970x200")</f>
        <v>CONTENT BOX 970x200</v>
      </c>
      <c r="I7" s="1043"/>
      <c r="J7" s="286"/>
      <c r="K7" s="286"/>
      <c r="L7" s="286"/>
      <c r="M7" s="288"/>
      <c r="N7" s="288"/>
      <c r="O7" s="288"/>
      <c r="P7" s="288"/>
      <c r="Q7" s="288"/>
      <c r="R7" s="288"/>
      <c r="S7" s="288"/>
      <c r="T7" s="288"/>
      <c r="U7" s="288"/>
      <c r="V7" s="288"/>
      <c r="W7" s="288"/>
      <c r="X7" s="288"/>
      <c r="Y7" s="288"/>
      <c r="Z7" s="288"/>
      <c r="AA7" s="288"/>
      <c r="AB7" s="288"/>
      <c r="AC7" s="288"/>
    </row>
    <row r="8" spans="1:33" s="244" customFormat="1" ht="12.75" customHeight="1">
      <c r="A8" s="286"/>
      <c r="B8" s="277"/>
      <c r="C8" s="1025"/>
      <c r="D8" s="766"/>
      <c r="E8" s="1037"/>
      <c r="F8" s="1006"/>
      <c r="G8" s="988"/>
      <c r="H8" s="988"/>
      <c r="I8" s="1035"/>
      <c r="J8" s="286"/>
      <c r="K8" s="286"/>
      <c r="L8" s="286"/>
      <c r="M8" s="288"/>
      <c r="N8" s="288"/>
      <c r="O8" s="288"/>
      <c r="P8" s="288"/>
      <c r="Q8" s="288"/>
      <c r="R8" s="288"/>
      <c r="S8" s="288"/>
      <c r="T8" s="288"/>
      <c r="U8" s="288"/>
      <c r="V8" s="288"/>
      <c r="W8" s="288"/>
      <c r="X8" s="288"/>
      <c r="Y8" s="288"/>
      <c r="Z8" s="288"/>
      <c r="AA8" s="288"/>
      <c r="AB8" s="288"/>
      <c r="AC8" s="288"/>
    </row>
    <row r="9" spans="1:33" s="244" customFormat="1" ht="25.5" customHeight="1">
      <c r="A9" s="288"/>
      <c r="B9" s="277"/>
      <c r="C9" s="1025"/>
      <c r="D9" s="766"/>
      <c r="E9" s="1037"/>
      <c r="F9" s="1006" t="str">
        <f>IF('Język - Language'!$B$30="Polski","rozliczenie za widzialne odsłony wg standardu IAB¹","settlement for visible ad views according to the IAB standard¹")</f>
        <v>rozliczenie za widzialne odsłony wg standardu IAB¹</v>
      </c>
      <c r="G9" s="988"/>
      <c r="H9" s="988"/>
      <c r="I9" s="1035"/>
      <c r="J9" s="286"/>
      <c r="K9" s="286"/>
      <c r="L9" s="288"/>
      <c r="M9" s="288"/>
      <c r="N9" s="288"/>
      <c r="O9" s="288"/>
      <c r="P9" s="288"/>
      <c r="Q9" s="288"/>
      <c r="R9" s="288"/>
      <c r="S9" s="288"/>
      <c r="T9" s="288"/>
      <c r="U9" s="288"/>
      <c r="V9" s="288"/>
      <c r="W9" s="288"/>
      <c r="X9" s="288"/>
      <c r="Y9" s="288"/>
      <c r="Z9" s="288"/>
      <c r="AA9" s="288"/>
      <c r="AB9" s="288"/>
      <c r="AC9" s="288"/>
    </row>
    <row r="10" spans="1:33" s="244" customFormat="1" ht="12.75" customHeight="1">
      <c r="A10" s="288"/>
      <c r="B10" s="277"/>
      <c r="C10" s="1026"/>
      <c r="D10" s="1042"/>
      <c r="E10" s="1038"/>
      <c r="F10" s="988" t="str">
        <f>IF('Język - Language'!$B$30="Polski","CENA RC","RC PRICE")</f>
        <v>CENA RC</v>
      </c>
      <c r="G10" s="988"/>
      <c r="H10" s="988" t="str">
        <f>IF('Język - Language'!$B$30="Polski","CENA RC","RC PRICE")</f>
        <v>CENA RC</v>
      </c>
      <c r="I10" s="988"/>
      <c r="J10" s="381"/>
      <c r="K10" s="286"/>
      <c r="L10" s="286"/>
      <c r="M10" s="288"/>
      <c r="N10" s="288"/>
      <c r="O10" s="288"/>
      <c r="P10" s="288"/>
      <c r="Q10" s="288"/>
      <c r="R10" s="288"/>
      <c r="S10" s="288"/>
      <c r="T10" s="288"/>
      <c r="U10" s="288"/>
      <c r="V10" s="288"/>
      <c r="W10" s="288"/>
      <c r="X10" s="288"/>
      <c r="Y10" s="288"/>
      <c r="Z10" s="288"/>
      <c r="AA10" s="288"/>
      <c r="AB10" s="288"/>
      <c r="AC10" s="288"/>
    </row>
    <row r="11" spans="1:33" s="244" customFormat="1" ht="12.75" customHeight="1">
      <c r="A11" s="288"/>
      <c r="B11" s="1052" t="str">
        <f>IF('Język - Language'!$B$30="Polski","DNIÓWKA ODSŁONOWA DESKTOP","DAILY EMISSION")</f>
        <v>DNIÓWKA ODSŁONOWA DESKTOP</v>
      </c>
      <c r="C11" s="1028" t="s">
        <v>29</v>
      </c>
      <c r="D11" s="377" t="str">
        <f>IF('Język - Language'!$B$30="Polski",CONCATENATE("Moduł ",CHAR(34),"Wiadomości",CHAR(34)),"Category 'News'")</f>
        <v>Moduł "Wiadomości"</v>
      </c>
      <c r="E11" s="279">
        <v>2000000</v>
      </c>
      <c r="F11" s="1031">
        <v>184000</v>
      </c>
      <c r="G11" s="1032"/>
      <c r="H11" s="1031" t="s">
        <v>58</v>
      </c>
      <c r="I11" s="1031"/>
      <c r="J11" s="381"/>
      <c r="K11" s="286"/>
      <c r="L11" s="286"/>
      <c r="M11" s="288"/>
      <c r="N11" s="288"/>
      <c r="O11" s="288"/>
      <c r="P11" s="288"/>
      <c r="Q11" s="288"/>
      <c r="R11" s="288"/>
      <c r="S11" s="288"/>
      <c r="T11" s="288"/>
      <c r="U11" s="288"/>
      <c r="V11" s="288"/>
      <c r="W11" s="288"/>
      <c r="X11" s="288"/>
      <c r="Y11" s="288"/>
      <c r="Z11" s="288"/>
      <c r="AA11" s="288"/>
      <c r="AB11" s="288"/>
      <c r="AC11" s="288"/>
    </row>
    <row r="12" spans="1:33" s="244" customFormat="1" ht="12.75" customHeight="1">
      <c r="A12" s="288"/>
      <c r="B12" s="1052"/>
      <c r="C12" s="1029"/>
      <c r="D12" s="377" t="str">
        <f>IF('Język - Language'!$B$30="Polski",CONCATENATE("Moduł ",CHAR(34),"Sport",CHAR(34)),"Category 'Sport'")</f>
        <v>Moduł "Sport"</v>
      </c>
      <c r="E12" s="279">
        <v>1400000</v>
      </c>
      <c r="F12" s="1031">
        <v>129000</v>
      </c>
      <c r="G12" s="1032"/>
      <c r="H12" s="1031"/>
      <c r="I12" s="1039"/>
      <c r="J12" s="286"/>
      <c r="K12" s="286"/>
      <c r="L12" s="286"/>
      <c r="M12" s="288"/>
      <c r="N12" s="288"/>
      <c r="O12" s="288"/>
      <c r="P12" s="288"/>
      <c r="Q12" s="288"/>
      <c r="R12" s="288"/>
      <c r="S12" s="288"/>
      <c r="T12" s="288"/>
      <c r="U12" s="288"/>
      <c r="V12" s="288"/>
      <c r="W12" s="288"/>
      <c r="X12" s="288"/>
      <c r="Y12" s="288"/>
      <c r="Z12" s="288"/>
      <c r="AA12" s="288"/>
      <c r="AB12" s="288"/>
      <c r="AC12" s="288"/>
    </row>
    <row r="13" spans="1:33" s="244" customFormat="1" ht="12.75" customHeight="1">
      <c r="A13" s="288"/>
      <c r="B13" s="1052"/>
      <c r="C13" s="1029"/>
      <c r="D13" s="377" t="str">
        <f>IF('Język - Language'!$B$30="Polski",CONCATENATE("Moduł ",CHAR(34),"Finanse",CHAR(34)),"Category 'Business'")</f>
        <v>Moduł "Finanse"</v>
      </c>
      <c r="E13" s="279">
        <v>1200000</v>
      </c>
      <c r="F13" s="1031">
        <v>110000</v>
      </c>
      <c r="G13" s="1032"/>
      <c r="H13" s="1031"/>
      <c r="I13" s="1039"/>
      <c r="J13" s="286"/>
      <c r="K13" s="286"/>
      <c r="L13" s="286"/>
      <c r="M13" s="288"/>
      <c r="N13" s="288"/>
      <c r="O13" s="288"/>
      <c r="P13" s="288"/>
      <c r="Q13" s="288"/>
      <c r="R13" s="288"/>
      <c r="S13" s="288"/>
      <c r="T13" s="288"/>
      <c r="U13" s="288"/>
      <c r="V13" s="288"/>
      <c r="W13" s="288"/>
      <c r="X13" s="288"/>
      <c r="Y13" s="288"/>
      <c r="Z13" s="288"/>
      <c r="AA13" s="288"/>
      <c r="AB13" s="288"/>
      <c r="AC13" s="288"/>
    </row>
    <row r="14" spans="1:33" s="244" customFormat="1" ht="12.75" customHeight="1">
      <c r="A14" s="288"/>
      <c r="B14" s="1052"/>
      <c r="C14" s="1029"/>
      <c r="D14" s="377" t="str">
        <f>IF('Język - Language'!$B$30="Polski",CONCATENATE("Moduł ",CHAR(34),"Gwiazdy",CHAR(34)),"Category 'Stars'")</f>
        <v>Moduł "Gwiazdy"</v>
      </c>
      <c r="E14" s="279">
        <v>1000000</v>
      </c>
      <c r="F14" s="1031">
        <v>92000</v>
      </c>
      <c r="G14" s="1032"/>
      <c r="H14" s="1031"/>
      <c r="I14" s="1039"/>
      <c r="J14" s="286"/>
      <c r="K14" s="286"/>
      <c r="L14" s="286"/>
      <c r="M14" s="288"/>
      <c r="N14" s="288"/>
      <c r="O14" s="288"/>
      <c r="P14" s="288"/>
      <c r="Q14" s="288"/>
      <c r="R14" s="288"/>
      <c r="S14" s="288"/>
      <c r="T14" s="288"/>
      <c r="U14" s="288"/>
      <c r="V14" s="288"/>
      <c r="W14" s="288"/>
      <c r="X14" s="288"/>
      <c r="Y14" s="288"/>
      <c r="Z14" s="288"/>
      <c r="AA14" s="288"/>
      <c r="AB14" s="288"/>
      <c r="AC14" s="288"/>
    </row>
    <row r="15" spans="1:33" s="244" customFormat="1" ht="12.75" customHeight="1">
      <c r="A15" s="288"/>
      <c r="B15" s="1052"/>
      <c r="C15" s="1029"/>
      <c r="D15" s="377" t="str">
        <f>IF('Język - Language'!$B$30="Polski",CONCATENATE("Moduł ",CHAR(34),"Moto",CHAR(34)),"Category 'Automotive'")</f>
        <v>Moduł "Moto"</v>
      </c>
      <c r="E15" s="279">
        <v>900000</v>
      </c>
      <c r="F15" s="1031">
        <v>83000</v>
      </c>
      <c r="G15" s="1032"/>
      <c r="H15" s="1031"/>
      <c r="I15" s="1039"/>
      <c r="J15" s="286"/>
      <c r="K15" s="286"/>
      <c r="L15" s="286"/>
      <c r="M15" s="288"/>
      <c r="N15" s="288"/>
      <c r="O15" s="288"/>
      <c r="P15" s="288"/>
      <c r="Q15" s="288"/>
      <c r="R15" s="288"/>
      <c r="S15" s="288"/>
      <c r="T15" s="288"/>
      <c r="U15" s="288"/>
      <c r="V15" s="288"/>
      <c r="W15" s="288"/>
      <c r="X15" s="288"/>
      <c r="Y15" s="288"/>
      <c r="Z15" s="288"/>
      <c r="AA15" s="288"/>
      <c r="AB15" s="288"/>
      <c r="AC15" s="288"/>
    </row>
    <row r="16" spans="1:33" s="244" customFormat="1" ht="12.75" customHeight="1">
      <c r="A16" s="288"/>
      <c r="B16" s="1052"/>
      <c r="C16" s="1029"/>
      <c r="D16" s="377" t="str">
        <f>IF('Język - Language'!$B$30="Polski",CONCATENATE("Moduł ",CHAR(34),"Styl Życia",CHAR(34)),"Category 'Lifestyle'")</f>
        <v>Moduł "Styl Życia"</v>
      </c>
      <c r="E16" s="279">
        <v>700000</v>
      </c>
      <c r="F16" s="1031">
        <v>64000</v>
      </c>
      <c r="G16" s="1032"/>
      <c r="H16" s="1031"/>
      <c r="I16" s="1039"/>
      <c r="J16" s="286"/>
      <c r="K16" s="286"/>
      <c r="L16" s="286"/>
      <c r="M16" s="288"/>
      <c r="N16" s="288"/>
      <c r="O16" s="288"/>
      <c r="P16" s="288"/>
      <c r="Q16" s="288"/>
      <c r="R16" s="288"/>
      <c r="S16" s="288"/>
      <c r="T16" s="288"/>
      <c r="U16" s="288"/>
      <c r="V16" s="288"/>
      <c r="W16" s="288"/>
      <c r="X16" s="288"/>
      <c r="Y16" s="288"/>
      <c r="Z16" s="288"/>
      <c r="AA16" s="288"/>
      <c r="AB16" s="288"/>
      <c r="AC16" s="288"/>
    </row>
    <row r="17" spans="1:33" s="244" customFormat="1" ht="12.75" customHeight="1">
      <c r="A17" s="288"/>
      <c r="B17" s="1052"/>
      <c r="C17" s="1029"/>
      <c r="D17" s="377" t="str">
        <f>IF('Język - Language'!$B$30="Polski",CONCATENATE("Moduł ",CHAR(34),"Turystyka",CHAR(34)),"Category 'Touring'")</f>
        <v>Moduł "Turystyka"</v>
      </c>
      <c r="E17" s="279">
        <v>600000</v>
      </c>
      <c r="F17" s="1031">
        <v>55000</v>
      </c>
      <c r="G17" s="1032"/>
      <c r="H17" s="1031"/>
      <c r="I17" s="1039"/>
      <c r="J17" s="286"/>
      <c r="K17" s="286"/>
      <c r="L17" s="286"/>
      <c r="M17" s="288"/>
      <c r="N17" s="288"/>
      <c r="O17" s="288"/>
      <c r="P17" s="288"/>
      <c r="Q17" s="288"/>
      <c r="R17" s="288"/>
      <c r="S17" s="288"/>
      <c r="T17" s="288"/>
      <c r="U17" s="288"/>
      <c r="V17" s="288"/>
      <c r="W17" s="288"/>
      <c r="X17" s="288"/>
      <c r="Y17" s="288"/>
      <c r="Z17" s="288"/>
      <c r="AA17" s="288"/>
      <c r="AB17" s="288"/>
      <c r="AC17" s="288"/>
    </row>
    <row r="18" spans="1:33" s="244" customFormat="1" ht="12.75" customHeight="1">
      <c r="A18" s="288"/>
      <c r="B18" s="1052"/>
      <c r="C18" s="1029"/>
      <c r="D18" s="668" t="str">
        <f>IF('Język - Language'!$B$30="Polski",CONCATENATE("Moduł ",CHAR(34),"Zobacz więcej",CHAR(34)),"Category 'See more'")</f>
        <v>Moduł "Zobacz więcej"</v>
      </c>
      <c r="E18" s="673">
        <v>500000</v>
      </c>
      <c r="F18" s="1040">
        <v>46000</v>
      </c>
      <c r="G18" s="950"/>
      <c r="H18" s="1040"/>
      <c r="I18" s="1041"/>
      <c r="J18" s="286"/>
      <c r="K18" s="286"/>
      <c r="L18" s="286"/>
      <c r="M18" s="288"/>
      <c r="N18" s="288"/>
      <c r="O18" s="288"/>
      <c r="P18" s="288"/>
      <c r="Q18" s="288"/>
      <c r="R18" s="288"/>
      <c r="S18" s="288"/>
      <c r="T18" s="288"/>
      <c r="U18" s="288"/>
      <c r="V18" s="288"/>
      <c r="W18" s="288"/>
      <c r="X18" s="288"/>
      <c r="Y18" s="288"/>
      <c r="Z18" s="288"/>
      <c r="AA18" s="288"/>
      <c r="AB18" s="288"/>
      <c r="AC18" s="288"/>
    </row>
    <row r="19" spans="1:33" s="244" customFormat="1" ht="12.75" customHeight="1">
      <c r="A19" s="288"/>
      <c r="B19" s="1052"/>
      <c r="C19" s="1030"/>
      <c r="D19" s="667" t="str">
        <f>IF('Język - Language'!$B$30="Polski","Moduły rotacyjnie","Rotating in categories")</f>
        <v>Moduły rotacyjnie</v>
      </c>
      <c r="E19" s="280">
        <v>1000000</v>
      </c>
      <c r="F19" s="1048">
        <v>75000</v>
      </c>
      <c r="G19" s="932"/>
      <c r="H19" s="1048">
        <v>92000</v>
      </c>
      <c r="I19" s="1058"/>
      <c r="J19" s="286"/>
      <c r="K19" s="286"/>
      <c r="L19" s="286"/>
      <c r="M19" s="288"/>
      <c r="N19" s="288"/>
      <c r="O19" s="288"/>
      <c r="P19" s="288"/>
      <c r="Q19" s="288"/>
      <c r="R19" s="288"/>
      <c r="S19" s="288"/>
      <c r="T19" s="288"/>
      <c r="U19" s="288"/>
      <c r="V19" s="288"/>
      <c r="W19" s="288"/>
      <c r="X19" s="288"/>
      <c r="Y19" s="288"/>
      <c r="Z19" s="288"/>
      <c r="AA19" s="288"/>
      <c r="AB19" s="288"/>
      <c r="AC19" s="288"/>
    </row>
    <row r="20" spans="1:33" s="288" customFormat="1" ht="25.5" customHeight="1" thickBot="1">
      <c r="B20" s="1053"/>
      <c r="C20" s="672" t="s">
        <v>275</v>
      </c>
      <c r="D20" s="378" t="s">
        <v>274</v>
      </c>
      <c r="E20" s="674">
        <v>500000</v>
      </c>
      <c r="F20" s="1045">
        <v>40000</v>
      </c>
      <c r="G20" s="1046"/>
      <c r="H20" s="1045" t="s">
        <v>58</v>
      </c>
      <c r="I20" s="1047"/>
      <c r="J20" s="286"/>
      <c r="K20" s="286"/>
      <c r="L20" s="286"/>
    </row>
    <row r="21" spans="1:33" s="244" customFormat="1" ht="12.75" customHeight="1" thickTop="1">
      <c r="A21" s="288"/>
      <c r="B21" s="367"/>
      <c r="C21" s="286"/>
      <c r="D21" s="286"/>
      <c r="E21" s="286"/>
      <c r="F21" s="286"/>
      <c r="G21" s="286"/>
      <c r="H21" s="286"/>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6"/>
    </row>
    <row r="22" spans="1:33" s="288" customFormat="1" ht="12.75" customHeight="1">
      <c r="B22" s="365"/>
      <c r="C22" s="366"/>
      <c r="D22" s="286"/>
      <c r="E22" s="286"/>
      <c r="F22" s="286"/>
      <c r="G22" s="286"/>
      <c r="H22" s="286"/>
      <c r="I22" s="286"/>
      <c r="J22" s="286"/>
      <c r="K22" s="286"/>
      <c r="L22" s="286"/>
      <c r="M22" s="286"/>
      <c r="N22" s="286"/>
      <c r="O22" s="286"/>
      <c r="P22" s="286"/>
      <c r="Q22" s="286"/>
      <c r="R22" s="286"/>
      <c r="S22" s="286"/>
      <c r="T22" s="286"/>
      <c r="U22" s="286"/>
      <c r="V22" s="286"/>
      <c r="W22" s="286"/>
      <c r="X22" s="286"/>
      <c r="Y22" s="286"/>
      <c r="Z22" s="286"/>
      <c r="AA22" s="286"/>
      <c r="AB22" s="286"/>
      <c r="AC22" s="286"/>
      <c r="AD22" s="286"/>
      <c r="AE22" s="286"/>
      <c r="AF22" s="286"/>
      <c r="AG22" s="286"/>
    </row>
    <row r="23" spans="1:33" s="288" customFormat="1" ht="12.75" customHeight="1">
      <c r="B23"/>
      <c r="C23" s="207" t="str">
        <f>IF('Język - Language'!$B$30="Polski","STANDARDOWE FORMATY REKLAMOWE","STANDARD AD FORMATS")</f>
        <v>STANDARDOWE FORMATY REKLAMOWE</v>
      </c>
      <c r="D23" s="286"/>
      <c r="E23" s="286"/>
      <c r="F23" s="286"/>
      <c r="G23" s="286"/>
      <c r="H23" s="286"/>
      <c r="I23" s="286"/>
      <c r="J23" s="286"/>
      <c r="K23" s="286"/>
      <c r="L23" s="286"/>
      <c r="M23" s="286"/>
      <c r="N23" s="286"/>
      <c r="O23" s="286"/>
      <c r="P23" s="286"/>
      <c r="Q23" s="286"/>
      <c r="R23" s="286"/>
      <c r="S23" s="286"/>
      <c r="T23" s="286"/>
      <c r="U23" s="286"/>
      <c r="V23" s="286"/>
      <c r="W23" s="286"/>
      <c r="X23" s="286"/>
      <c r="Y23" s="286"/>
      <c r="Z23" s="286"/>
      <c r="AA23" s="286"/>
      <c r="AB23" s="286"/>
      <c r="AC23" s="286"/>
      <c r="AD23" s="286"/>
      <c r="AE23" s="286"/>
      <c r="AF23" s="286"/>
      <c r="AG23" s="286"/>
    </row>
    <row r="24" spans="1:33" ht="12.75" customHeight="1">
      <c r="A24" s="288"/>
      <c r="B24" s="286"/>
      <c r="C24" s="1027" t="str">
        <f>IF('Język - Language'!$B$30="Polski","KATEGORIE","CATEGORIES")</f>
        <v>KATEGORIE</v>
      </c>
      <c r="D24" s="1060" t="str">
        <f>IF('Język - Language'!$B$30="Polski","MIEJSCE EMISJI","PLACE OF EMISSION")</f>
        <v>MIEJSCE EMISJI</v>
      </c>
      <c r="E24" s="1061"/>
      <c r="F24" s="1050" t="str">
        <f>IF('Język - Language'!$B$30="Polski","RECTANGLE","RECTANGLE")</f>
        <v>RECTANGLE</v>
      </c>
      <c r="G24" s="1051"/>
      <c r="H24" s="1051" t="str">
        <f>IF('Język - Language'!$B$30="Polski","DOUBLE BILLBOARD,","DOUBLE BILLBOARD,")</f>
        <v>DOUBLE BILLBOARD,</v>
      </c>
      <c r="I24" s="1051"/>
      <c r="J24" s="1051" t="str">
        <f>IF('Język - Language'!$B$30="Polski","TRIPLE BILLBOARD,","TRIPLE BILLBOARD,")</f>
        <v>TRIPLE BILLBOARD,</v>
      </c>
      <c r="K24" s="1055"/>
      <c r="L24" s="1054" t="str">
        <f>IF('Język - Language'!$B$30="Polski","SCREENING 200³","SCREENING 200³")</f>
        <v>SCREENING 200³</v>
      </c>
      <c r="M24" s="1055"/>
      <c r="N24" s="1001" t="s">
        <v>61</v>
      </c>
      <c r="O24" s="881"/>
      <c r="P24" s="1001" t="s">
        <v>232</v>
      </c>
      <c r="Q24" s="880"/>
      <c r="R24" s="872" t="s">
        <v>234</v>
      </c>
      <c r="S24" s="873"/>
      <c r="T24" s="95"/>
      <c r="U24" s="286"/>
      <c r="V24" s="286"/>
      <c r="W24" s="286"/>
      <c r="X24" s="288"/>
      <c r="Y24" s="288"/>
      <c r="Z24" s="288"/>
      <c r="AA24" s="288"/>
      <c r="AB24" s="288"/>
      <c r="AC24" s="288"/>
      <c r="AD24" s="288"/>
      <c r="AE24" s="288"/>
      <c r="AF24" s="288"/>
      <c r="AG24" s="288"/>
    </row>
    <row r="25" spans="1:33" s="145" customFormat="1" ht="12.75" customHeight="1">
      <c r="A25" s="288"/>
      <c r="B25" s="286"/>
      <c r="C25" s="1025"/>
      <c r="D25" s="766"/>
      <c r="E25" s="1062"/>
      <c r="F25" s="1006"/>
      <c r="G25" s="988"/>
      <c r="H25" s="988" t="str">
        <f>IF('Język - Language'!$B$30="Polski","FLOATING HALFPAGE","FLOATING HALFPATE")</f>
        <v>FLOATING HALFPAGE</v>
      </c>
      <c r="I25" s="988"/>
      <c r="J25" s="988"/>
      <c r="K25" s="995"/>
      <c r="L25" s="1056"/>
      <c r="M25" s="995"/>
      <c r="N25" s="1001"/>
      <c r="O25" s="881"/>
      <c r="P25" s="1001"/>
      <c r="Q25" s="880"/>
      <c r="R25" s="872"/>
      <c r="S25" s="873"/>
      <c r="T25" s="95"/>
      <c r="U25" s="286"/>
      <c r="V25" s="286"/>
      <c r="W25" s="286"/>
      <c r="X25" s="288"/>
      <c r="Y25" s="288"/>
      <c r="Z25" s="288"/>
      <c r="AA25" s="288"/>
      <c r="AB25" s="288"/>
      <c r="AC25" s="288"/>
      <c r="AD25" s="288"/>
      <c r="AE25" s="288"/>
      <c r="AF25" s="288"/>
      <c r="AG25" s="288"/>
    </row>
    <row r="26" spans="1:33" s="145" customFormat="1" ht="12.75" customHeight="1">
      <c r="A26" s="288"/>
      <c r="B26" s="286"/>
      <c r="C26" s="1025"/>
      <c r="D26" s="766"/>
      <c r="E26" s="1062"/>
      <c r="F26" s="1049" t="str">
        <f>IF('Język - Language'!$B$30="Polski","MOBILE RECTANGLE","MOBILE RECTANGLE")</f>
        <v>MOBILE RECTANGLE</v>
      </c>
      <c r="G26" s="1044"/>
      <c r="H26" s="988" t="str">
        <f>IF('Język - Language'!$B$30="Polski","HALFPAGE,","HALFPAGE,")</f>
        <v>HALFPAGE,</v>
      </c>
      <c r="I26" s="988"/>
      <c r="J26" s="988" t="str">
        <f>IF('Język - Language'!$B$30="Polski","WIDEBOARD","WIDEBOARD")</f>
        <v>WIDEBOARD</v>
      </c>
      <c r="K26" s="995"/>
      <c r="L26" s="1020" t="str">
        <f>IF('Język - Language'!$B$30="Polski","MOBILE SCREENING³","MOBILE SCREENING³")</f>
        <v>MOBILE SCREENING³</v>
      </c>
      <c r="M26" s="1021"/>
      <c r="N26" s="1063" t="s">
        <v>62</v>
      </c>
      <c r="O26" s="1064"/>
      <c r="P26" s="549"/>
      <c r="Q26" s="549"/>
      <c r="R26" s="549"/>
      <c r="S26" s="550"/>
      <c r="T26" s="95"/>
      <c r="U26" s="286"/>
      <c r="V26" s="286"/>
      <c r="W26" s="286"/>
      <c r="X26" s="288"/>
      <c r="Y26" s="288"/>
      <c r="Z26" s="288"/>
      <c r="AA26" s="288"/>
      <c r="AB26" s="288"/>
      <c r="AC26" s="288"/>
      <c r="AD26" s="288"/>
      <c r="AE26" s="288"/>
      <c r="AF26" s="288"/>
      <c r="AG26" s="288"/>
    </row>
    <row r="27" spans="1:33" s="145" customFormat="1" ht="12.75" customHeight="1">
      <c r="A27" s="288"/>
      <c r="B27" s="286"/>
      <c r="C27" s="1025"/>
      <c r="D27" s="766"/>
      <c r="E27" s="1062"/>
      <c r="F27" s="1049"/>
      <c r="G27" s="1044"/>
      <c r="H27" s="1044" t="str">
        <f>IF('Język - Language'!$B$30="Polski","MOBILE BANNER GÓRNY","MOBILE UPPER BANNER")</f>
        <v>MOBILE BANNER GÓRNY</v>
      </c>
      <c r="I27" s="1044"/>
      <c r="J27" s="988"/>
      <c r="K27" s="995"/>
      <c r="L27" s="1020"/>
      <c r="M27" s="1021"/>
      <c r="N27" s="1063"/>
      <c r="O27" s="1064"/>
      <c r="P27" s="549"/>
      <c r="Q27" s="549"/>
      <c r="R27" s="549"/>
      <c r="S27" s="550"/>
      <c r="T27" s="95"/>
      <c r="U27" s="286"/>
      <c r="V27" s="286"/>
      <c r="W27" s="286"/>
      <c r="X27" s="288"/>
      <c r="Y27" s="288"/>
      <c r="Z27" s="288"/>
      <c r="AA27" s="288"/>
      <c r="AB27" s="288"/>
      <c r="AC27" s="288"/>
      <c r="AD27" s="288"/>
      <c r="AE27" s="288"/>
      <c r="AF27" s="288"/>
      <c r="AG27" s="288"/>
    </row>
    <row r="28" spans="1:33" s="110" customFormat="1" ht="25.5" customHeight="1">
      <c r="A28" s="288"/>
      <c r="B28" s="286"/>
      <c r="C28" s="1025"/>
      <c r="D28" s="766"/>
      <c r="E28" s="1062"/>
      <c r="F28" s="1006" t="str">
        <f>IF('Język - Language'!$B$30="Polski","rozliczenie za widzialne odsłony wg standardu IAB, po statystykach wewnętrznych WPM¹","settlement for visible ad views according to the IAB standard, based on internal WPM statistics¹")</f>
        <v>rozliczenie za widzialne odsłony wg standardu IAB, po statystykach wewnętrznych WPM¹</v>
      </c>
      <c r="G28" s="988"/>
      <c r="H28" s="988"/>
      <c r="I28" s="988"/>
      <c r="J28" s="988"/>
      <c r="K28" s="988"/>
      <c r="L28" s="988"/>
      <c r="M28" s="988"/>
      <c r="N28" s="988"/>
      <c r="O28" s="995"/>
      <c r="P28" s="1003" t="s">
        <v>221</v>
      </c>
      <c r="Q28" s="870"/>
      <c r="R28" s="870"/>
      <c r="S28" s="873"/>
      <c r="T28" s="95"/>
      <c r="U28" s="286"/>
      <c r="V28" s="286"/>
      <c r="W28" s="286"/>
      <c r="X28" s="288"/>
      <c r="Y28" s="288"/>
      <c r="Z28" s="288"/>
      <c r="AA28" s="288"/>
      <c r="AB28" s="288"/>
      <c r="AC28" s="288"/>
      <c r="AD28" s="288"/>
      <c r="AE28" s="288"/>
      <c r="AF28" s="288"/>
      <c r="AG28" s="288"/>
    </row>
    <row r="29" spans="1:33" s="288" customFormat="1" ht="12.75" customHeight="1">
      <c r="B29" s="286"/>
      <c r="C29" s="1025"/>
      <c r="D29" s="766"/>
      <c r="E29" s="1062"/>
      <c r="F29" s="1006" t="s">
        <v>101</v>
      </c>
      <c r="G29" s="1007"/>
      <c r="H29" s="1006" t="s">
        <v>101</v>
      </c>
      <c r="I29" s="1007"/>
      <c r="J29" s="1006" t="s">
        <v>101</v>
      </c>
      <c r="K29" s="1007"/>
      <c r="L29" s="1006" t="s">
        <v>101</v>
      </c>
      <c r="M29" s="1007"/>
      <c r="N29" s="1002" t="s">
        <v>101</v>
      </c>
      <c r="O29" s="995"/>
      <c r="P29" s="1002" t="s">
        <v>101</v>
      </c>
      <c r="Q29" s="995"/>
      <c r="R29" s="1002" t="s">
        <v>101</v>
      </c>
      <c r="S29" s="995"/>
      <c r="T29" s="95"/>
      <c r="U29" s="286"/>
      <c r="V29" s="286"/>
      <c r="W29" s="286"/>
    </row>
    <row r="30" spans="1:33" s="99" customFormat="1" ht="12.75" customHeight="1">
      <c r="A30" s="288"/>
      <c r="B30" s="286"/>
      <c r="C30" s="1026"/>
      <c r="D30" s="766"/>
      <c r="E30" s="1062"/>
      <c r="F30" s="468" t="s">
        <v>184</v>
      </c>
      <c r="G30" s="467" t="s">
        <v>185</v>
      </c>
      <c r="H30" s="468" t="s">
        <v>184</v>
      </c>
      <c r="I30" s="467" t="s">
        <v>185</v>
      </c>
      <c r="J30" s="468" t="s">
        <v>184</v>
      </c>
      <c r="K30" s="467" t="s">
        <v>185</v>
      </c>
      <c r="L30" s="468" t="s">
        <v>184</v>
      </c>
      <c r="M30" s="467" t="s">
        <v>185</v>
      </c>
      <c r="N30" s="468" t="s">
        <v>184</v>
      </c>
      <c r="O30" s="466" t="s">
        <v>185</v>
      </c>
      <c r="P30" s="547" t="s">
        <v>184</v>
      </c>
      <c r="Q30" s="548" t="s">
        <v>185</v>
      </c>
      <c r="R30" s="547" t="s">
        <v>184</v>
      </c>
      <c r="S30" s="548" t="s">
        <v>185</v>
      </c>
      <c r="T30" s="95"/>
      <c r="U30" s="286"/>
      <c r="V30" s="286"/>
      <c r="W30" s="286"/>
      <c r="X30" s="288"/>
      <c r="Y30" s="288"/>
      <c r="Z30" s="288"/>
      <c r="AA30" s="288"/>
      <c r="AB30" s="288"/>
      <c r="AC30" s="288"/>
      <c r="AD30" s="288"/>
      <c r="AE30" s="288"/>
      <c r="AF30" s="288"/>
      <c r="AG30" s="288"/>
    </row>
    <row r="31" spans="1:33" s="244" customFormat="1" ht="36" customHeight="1">
      <c r="A31" s="288"/>
      <c r="B31" s="1057" t="str">
        <f>IF('Język - Language'!$B$30="Polski","EMISJA ODSŁONOWA","CPM EMISSION")</f>
        <v>EMISJA ODSŁONOWA</v>
      </c>
      <c r="C31" s="287" t="str">
        <f>IF('Język - Language'!$B$30="Polski","WPM ZASIĘG","WPM REACH")</f>
        <v>WPM ZASIĘG</v>
      </c>
      <c r="D31" s="817" t="str">
        <f>IF('Język - Language'!$B$30="Polski","WPM Zasięg (bez stron głównych o2 i WP oraz bez serwisów pocztowych)","WPM Reach (without o2 HP, WP HP and e-mail services)")</f>
        <v>WPM Zasięg (bez stron głównych o2 i WP oraz bez serwisów pocztowych)</v>
      </c>
      <c r="E31" s="818"/>
      <c r="F31" s="444">
        <v>27</v>
      </c>
      <c r="G31" s="470">
        <v>32</v>
      </c>
      <c r="H31" s="457">
        <v>41</v>
      </c>
      <c r="I31" s="470">
        <v>49</v>
      </c>
      <c r="J31" s="457">
        <v>54</v>
      </c>
      <c r="K31" s="482">
        <v>65</v>
      </c>
      <c r="L31" s="445" t="s">
        <v>58</v>
      </c>
      <c r="M31" s="446" t="s">
        <v>58</v>
      </c>
      <c r="N31" s="445" t="s">
        <v>58</v>
      </c>
      <c r="O31" s="446" t="s">
        <v>58</v>
      </c>
      <c r="P31" s="552">
        <v>10</v>
      </c>
      <c r="Q31" s="579" t="s">
        <v>58</v>
      </c>
      <c r="R31" s="552">
        <v>27</v>
      </c>
      <c r="S31" s="589" t="s">
        <v>58</v>
      </c>
      <c r="T31" s="93"/>
      <c r="U31" s="286"/>
      <c r="V31" s="286"/>
      <c r="W31" s="286"/>
      <c r="X31" s="288"/>
      <c r="Y31" s="288"/>
      <c r="Z31" s="288"/>
      <c r="AA31" s="288"/>
      <c r="AB31" s="288"/>
      <c r="AC31" s="288"/>
      <c r="AD31" s="288"/>
      <c r="AE31" s="288"/>
      <c r="AF31" s="288"/>
      <c r="AG31" s="288"/>
    </row>
    <row r="32" spans="1:33" s="244" customFormat="1" ht="36" customHeight="1">
      <c r="A32" s="288"/>
      <c r="B32" s="1057"/>
      <c r="C32" s="287" t="s">
        <v>63</v>
      </c>
      <c r="D32" s="1008" t="str">
        <f>IF('Język - Language'!$B$30="Polski","WP SG, o2 SG²","WP HP, o2 HP²")</f>
        <v>WP SG, o2 SG²</v>
      </c>
      <c r="E32" s="1009"/>
      <c r="F32" s="513" t="s">
        <v>58</v>
      </c>
      <c r="G32" s="469" t="s">
        <v>58</v>
      </c>
      <c r="H32" s="443">
        <v>80</v>
      </c>
      <c r="I32" s="471">
        <v>96</v>
      </c>
      <c r="J32" s="443">
        <v>105</v>
      </c>
      <c r="K32" s="471">
        <v>126</v>
      </c>
      <c r="L32" s="452" t="s">
        <v>58</v>
      </c>
      <c r="M32" s="473" t="s">
        <v>58</v>
      </c>
      <c r="N32" s="447" t="s">
        <v>58</v>
      </c>
      <c r="O32" s="448" t="s">
        <v>58</v>
      </c>
      <c r="P32" s="570" t="s">
        <v>58</v>
      </c>
      <c r="Q32" s="579" t="s">
        <v>58</v>
      </c>
      <c r="R32" s="572" t="s">
        <v>58</v>
      </c>
      <c r="S32" s="589" t="s">
        <v>58</v>
      </c>
      <c r="T32" s="93"/>
      <c r="U32" s="286"/>
      <c r="V32" s="286"/>
      <c r="W32" s="286"/>
      <c r="X32" s="288"/>
      <c r="Y32" s="288"/>
      <c r="Z32" s="288"/>
      <c r="AA32" s="288"/>
      <c r="AB32" s="288"/>
      <c r="AC32" s="288"/>
      <c r="AD32" s="288"/>
      <c r="AE32" s="288"/>
      <c r="AF32" s="288"/>
      <c r="AG32" s="288"/>
    </row>
    <row r="33" spans="1:33" s="244" customFormat="1" ht="12.75" customHeight="1" outlineLevel="1">
      <c r="A33" s="288"/>
      <c r="B33" s="1057"/>
      <c r="C33" s="1025" t="str">
        <f>IF('Język - Language'!$B$30="Polski","BIZNES","BUSINESS")</f>
        <v>BIZNES</v>
      </c>
      <c r="D33" s="398" t="s">
        <v>41</v>
      </c>
      <c r="E33" s="399"/>
      <c r="F33" s="449">
        <f>ROUND(F35*(1+0.3),-1)</f>
        <v>120</v>
      </c>
      <c r="G33" s="475">
        <v>144</v>
      </c>
      <c r="H33" s="449">
        <f>ROUND(H35*(1+0.3),-1)</f>
        <v>180</v>
      </c>
      <c r="I33" s="475">
        <v>216</v>
      </c>
      <c r="J33" s="449">
        <f>ROUND(J35*(1+0.3),-1)</f>
        <v>230</v>
      </c>
      <c r="K33" s="475">
        <v>276</v>
      </c>
      <c r="L33" s="449">
        <v>270</v>
      </c>
      <c r="M33" s="475">
        <v>324</v>
      </c>
      <c r="N33" s="449">
        <f>ROUND(N35*(1+0.3),-1)</f>
        <v>310</v>
      </c>
      <c r="O33" s="521">
        <v>372</v>
      </c>
      <c r="P33" s="577">
        <f>ROUND(P35*(1+0.3),-1)</f>
        <v>20</v>
      </c>
      <c r="Q33" s="580" t="s">
        <v>58</v>
      </c>
      <c r="R33" s="577">
        <f>ROUND(R35*(1+0.3),-1)</f>
        <v>120</v>
      </c>
      <c r="S33" s="590" t="s">
        <v>58</v>
      </c>
      <c r="T33" s="93"/>
      <c r="U33" s="286"/>
      <c r="V33" s="286"/>
      <c r="W33" s="286"/>
      <c r="X33" s="288"/>
      <c r="Y33" s="288"/>
      <c r="Z33" s="288"/>
      <c r="AA33" s="288"/>
      <c r="AB33" s="288"/>
      <c r="AC33" s="288"/>
      <c r="AD33" s="288"/>
      <c r="AE33" s="288"/>
      <c r="AF33" s="288"/>
      <c r="AG33" s="288"/>
    </row>
    <row r="34" spans="1:33" s="288" customFormat="1" ht="12.75" customHeight="1" outlineLevel="1">
      <c r="B34" s="1057"/>
      <c r="C34" s="1025"/>
      <c r="D34" s="400" t="s">
        <v>142</v>
      </c>
      <c r="E34" s="401"/>
      <c r="F34" s="464">
        <f>ROUND(F35*(1+0.3),-1)</f>
        <v>120</v>
      </c>
      <c r="G34" s="476">
        <v>144</v>
      </c>
      <c r="H34" s="464">
        <f>ROUND(H35*(1+0.3),-1)</f>
        <v>180</v>
      </c>
      <c r="I34" s="476">
        <v>216</v>
      </c>
      <c r="J34" s="464">
        <f>ROUND(J35*(1+0.3),-1)</f>
        <v>230</v>
      </c>
      <c r="K34" s="476">
        <v>276</v>
      </c>
      <c r="L34" s="464">
        <v>270</v>
      </c>
      <c r="M34" s="476">
        <v>324</v>
      </c>
      <c r="N34" s="464">
        <f>ROUND(N35*(1+0.3),-1)</f>
        <v>310</v>
      </c>
      <c r="O34" s="522">
        <v>372</v>
      </c>
      <c r="P34" s="520">
        <f>ROUND(P35*(1+0.3),-1)</f>
        <v>20</v>
      </c>
      <c r="Q34" s="581" t="s">
        <v>58</v>
      </c>
      <c r="R34" s="578">
        <f>ROUND(R35*(1+0.3),-1)</f>
        <v>120</v>
      </c>
      <c r="S34" s="591" t="s">
        <v>58</v>
      </c>
      <c r="T34" s="93"/>
      <c r="U34" s="286"/>
      <c r="V34" s="286"/>
      <c r="W34" s="286"/>
    </row>
    <row r="35" spans="1:33" s="288" customFormat="1" ht="36" customHeight="1">
      <c r="B35" s="1057"/>
      <c r="C35" s="1026"/>
      <c r="D35" s="817" t="str">
        <f>D33&amp;", "&amp;D34</f>
        <v>WP Finanse, Portal Money.pl</v>
      </c>
      <c r="E35" s="818"/>
      <c r="F35" s="443">
        <v>90</v>
      </c>
      <c r="G35" s="471">
        <v>108</v>
      </c>
      <c r="H35" s="443">
        <v>135</v>
      </c>
      <c r="I35" s="471">
        <v>162</v>
      </c>
      <c r="J35" s="443">
        <v>180</v>
      </c>
      <c r="K35" s="471">
        <v>216</v>
      </c>
      <c r="L35" s="452" t="s">
        <v>58</v>
      </c>
      <c r="M35" s="472" t="s">
        <v>58</v>
      </c>
      <c r="N35" s="452">
        <v>235</v>
      </c>
      <c r="O35" s="472">
        <v>282</v>
      </c>
      <c r="P35" s="551">
        <v>15</v>
      </c>
      <c r="Q35" s="582" t="s">
        <v>58</v>
      </c>
      <c r="R35" s="551">
        <v>90</v>
      </c>
      <c r="S35" s="592" t="s">
        <v>58</v>
      </c>
      <c r="T35" s="93"/>
      <c r="U35" s="286"/>
      <c r="V35" s="286"/>
      <c r="W35" s="286"/>
    </row>
    <row r="36" spans="1:33" s="244" customFormat="1" ht="12.75" customHeight="1" outlineLevel="1">
      <c r="A36" s="288"/>
      <c r="B36" s="1057"/>
      <c r="C36" s="1024" t="str">
        <f>IF('Język - Language'!$B$30="Polski","INFO I SPORT","INFO AND SPORT")</f>
        <v>INFO I SPORT</v>
      </c>
      <c r="D36" s="398" t="s">
        <v>39</v>
      </c>
      <c r="E36" s="399"/>
      <c r="F36" s="451">
        <f>ROUND(F41*(1+0.3),-1)</f>
        <v>70</v>
      </c>
      <c r="G36" s="477">
        <v>84</v>
      </c>
      <c r="H36" s="451">
        <f>ROUND(H41*(1+0.3),-1)</f>
        <v>100</v>
      </c>
      <c r="I36" s="477">
        <v>120</v>
      </c>
      <c r="J36" s="451">
        <f>ROUND(J41*(1+0.3),-1)</f>
        <v>140</v>
      </c>
      <c r="K36" s="477">
        <v>168</v>
      </c>
      <c r="L36" s="451">
        <v>160</v>
      </c>
      <c r="M36" s="477">
        <v>192</v>
      </c>
      <c r="N36" s="451">
        <f>ROUND(N41*(1+0.3),-1)</f>
        <v>190</v>
      </c>
      <c r="O36" s="477">
        <v>228</v>
      </c>
      <c r="P36" s="518">
        <f>ROUND(P41*(1+0.3),-1)</f>
        <v>20</v>
      </c>
      <c r="Q36" s="583" t="s">
        <v>58</v>
      </c>
      <c r="R36" s="575">
        <f>ROUND(R41*(1+0.3),-1)</f>
        <v>70</v>
      </c>
      <c r="S36" s="593" t="s">
        <v>58</v>
      </c>
      <c r="T36" s="93"/>
      <c r="U36" s="286"/>
      <c r="V36" s="286"/>
      <c r="W36" s="286"/>
      <c r="X36" s="288"/>
      <c r="Y36" s="288"/>
      <c r="Z36" s="288"/>
      <c r="AA36" s="288"/>
      <c r="AB36" s="288"/>
      <c r="AC36" s="288"/>
      <c r="AD36" s="288"/>
      <c r="AE36" s="288"/>
      <c r="AF36" s="288"/>
      <c r="AG36" s="288"/>
    </row>
    <row r="37" spans="1:33" s="288" customFormat="1" ht="12.75" customHeight="1" outlineLevel="1">
      <c r="B37" s="1057"/>
      <c r="C37" s="1025"/>
      <c r="D37" s="402" t="s">
        <v>98</v>
      </c>
      <c r="E37" s="403"/>
      <c r="F37" s="453">
        <f>ROUND(F41*(1+0.3),-1)</f>
        <v>70</v>
      </c>
      <c r="G37" s="478">
        <v>84</v>
      </c>
      <c r="H37" s="453">
        <f>ROUND(H41*(1+0.3),-1)</f>
        <v>100</v>
      </c>
      <c r="I37" s="478">
        <v>120</v>
      </c>
      <c r="J37" s="453">
        <f>ROUND(J41*(1+0.3),-1)</f>
        <v>140</v>
      </c>
      <c r="K37" s="478">
        <v>168</v>
      </c>
      <c r="L37" s="453">
        <v>160</v>
      </c>
      <c r="M37" s="478">
        <v>192</v>
      </c>
      <c r="N37" s="453">
        <f>ROUND(N41*(1+0.3),-1)</f>
        <v>190</v>
      </c>
      <c r="O37" s="478">
        <v>228</v>
      </c>
      <c r="P37" s="519">
        <f>ROUND(P41*(1+0.3),-1)</f>
        <v>20</v>
      </c>
      <c r="Q37" s="584" t="s">
        <v>58</v>
      </c>
      <c r="R37" s="576">
        <f>ROUND(R41*(1+0.3),-1)</f>
        <v>70</v>
      </c>
      <c r="S37" s="594" t="s">
        <v>58</v>
      </c>
      <c r="T37" s="93"/>
      <c r="U37" s="286"/>
      <c r="V37" s="286"/>
      <c r="W37" s="286"/>
    </row>
    <row r="38" spans="1:33" s="288" customFormat="1" ht="12.75" customHeight="1" outlineLevel="1">
      <c r="B38" s="1057"/>
      <c r="C38" s="1025"/>
      <c r="D38" s="402" t="s">
        <v>143</v>
      </c>
      <c r="E38" s="403"/>
      <c r="F38" s="453">
        <f>ROUND(F41*(1+0.3),-1)</f>
        <v>70</v>
      </c>
      <c r="G38" s="478">
        <v>84</v>
      </c>
      <c r="H38" s="453">
        <f>ROUND(H41*(1+0.3),-1)</f>
        <v>100</v>
      </c>
      <c r="I38" s="478">
        <v>120</v>
      </c>
      <c r="J38" s="453">
        <f>ROUND(J41*(1+0.3),-1)</f>
        <v>140</v>
      </c>
      <c r="K38" s="478">
        <v>168</v>
      </c>
      <c r="L38" s="453">
        <v>160</v>
      </c>
      <c r="M38" s="478">
        <v>192</v>
      </c>
      <c r="N38" s="453">
        <f>ROUND(N41*(1+0.3),-1)</f>
        <v>190</v>
      </c>
      <c r="O38" s="478">
        <v>228</v>
      </c>
      <c r="P38" s="519">
        <f>ROUND(P41*(1+0.3),-1)</f>
        <v>20</v>
      </c>
      <c r="Q38" s="584" t="s">
        <v>58</v>
      </c>
      <c r="R38" s="576">
        <f>ROUND(R41*(1+0.3),-1)</f>
        <v>70</v>
      </c>
      <c r="S38" s="594" t="s">
        <v>58</v>
      </c>
      <c r="T38" s="93"/>
      <c r="U38" s="286"/>
      <c r="V38" s="286"/>
      <c r="W38" s="286"/>
    </row>
    <row r="39" spans="1:33" s="288" customFormat="1" ht="12.75" customHeight="1" outlineLevel="1">
      <c r="B39" s="1057"/>
      <c r="C39" s="1025"/>
      <c r="D39" s="402" t="s">
        <v>30</v>
      </c>
      <c r="E39" s="403"/>
      <c r="F39" s="453">
        <f>ROUND(F41*(1+0.3),-1)</f>
        <v>70</v>
      </c>
      <c r="G39" s="478">
        <v>84</v>
      </c>
      <c r="H39" s="453">
        <f>ROUND(H41*(1+0.3),-1)</f>
        <v>100</v>
      </c>
      <c r="I39" s="478">
        <v>120</v>
      </c>
      <c r="J39" s="453">
        <f>ROUND(J41*(1+0.3),-1)</f>
        <v>140</v>
      </c>
      <c r="K39" s="478">
        <v>168</v>
      </c>
      <c r="L39" s="453">
        <v>160</v>
      </c>
      <c r="M39" s="478">
        <v>192</v>
      </c>
      <c r="N39" s="453">
        <f>ROUND(N41*(1+0.3),-1)</f>
        <v>190</v>
      </c>
      <c r="O39" s="478">
        <v>228</v>
      </c>
      <c r="P39" s="519">
        <f>ROUND(P41*(1+0.3),-1)</f>
        <v>20</v>
      </c>
      <c r="Q39" s="584" t="s">
        <v>58</v>
      </c>
      <c r="R39" s="576">
        <f>ROUND(R41*(1+0.3),-1)</f>
        <v>70</v>
      </c>
      <c r="S39" s="594" t="s">
        <v>58</v>
      </c>
      <c r="T39" s="93"/>
      <c r="U39" s="286"/>
      <c r="V39" s="286"/>
      <c r="W39" s="286"/>
    </row>
    <row r="40" spans="1:33" s="288" customFormat="1" ht="12.75" customHeight="1" outlineLevel="1">
      <c r="B40" s="1057"/>
      <c r="C40" s="1025"/>
      <c r="D40" s="402" t="s">
        <v>144</v>
      </c>
      <c r="E40" s="403"/>
      <c r="F40" s="455">
        <f>ROUND(F41*(1+0.3),-1)</f>
        <v>70</v>
      </c>
      <c r="G40" s="479">
        <v>84</v>
      </c>
      <c r="H40" s="455">
        <f>ROUND(H41*(1+0.3),-1)</f>
        <v>100</v>
      </c>
      <c r="I40" s="479">
        <v>120</v>
      </c>
      <c r="J40" s="455">
        <f>ROUND(J41*(1+0.3),-1)</f>
        <v>140</v>
      </c>
      <c r="K40" s="479">
        <v>168</v>
      </c>
      <c r="L40" s="455">
        <v>160</v>
      </c>
      <c r="M40" s="479">
        <v>192</v>
      </c>
      <c r="N40" s="455">
        <f>ROUND(N41*(1+0.3),-1)</f>
        <v>190</v>
      </c>
      <c r="O40" s="479">
        <v>228</v>
      </c>
      <c r="P40" s="574">
        <f>ROUND(P41*(1+0.3),-1)</f>
        <v>20</v>
      </c>
      <c r="Q40" s="585" t="s">
        <v>58</v>
      </c>
      <c r="R40" s="489">
        <f>ROUND(R41*(1+0.3),-1)</f>
        <v>70</v>
      </c>
      <c r="S40" s="595" t="s">
        <v>58</v>
      </c>
      <c r="T40" s="93"/>
      <c r="U40" s="286"/>
      <c r="V40" s="286"/>
      <c r="W40" s="286"/>
    </row>
    <row r="41" spans="1:33" s="288" customFormat="1" ht="36" customHeight="1">
      <c r="B41" s="1057"/>
      <c r="C41" s="1026"/>
      <c r="D41" s="1008" t="str">
        <f>D36&amp;", "&amp;D37&amp;", "&amp;D38&amp;", "&amp;D39&amp;", "&amp;D40</f>
        <v>WP Wiadomości, WP Opinie, WP Pogoda, WP SportoweFakty, Wawalove</v>
      </c>
      <c r="E41" s="1009"/>
      <c r="F41" s="458">
        <v>55</v>
      </c>
      <c r="G41" s="473">
        <v>65</v>
      </c>
      <c r="H41" s="458">
        <v>80</v>
      </c>
      <c r="I41" s="473">
        <v>96</v>
      </c>
      <c r="J41" s="458">
        <v>105</v>
      </c>
      <c r="K41" s="473">
        <v>126</v>
      </c>
      <c r="L41" s="452" t="s">
        <v>58</v>
      </c>
      <c r="M41" s="473" t="s">
        <v>58</v>
      </c>
      <c r="N41" s="452">
        <v>145</v>
      </c>
      <c r="O41" s="473">
        <v>175</v>
      </c>
      <c r="P41" s="553">
        <v>14</v>
      </c>
      <c r="Q41" s="579" t="s">
        <v>58</v>
      </c>
      <c r="R41" s="555">
        <v>55</v>
      </c>
      <c r="S41" s="589" t="s">
        <v>58</v>
      </c>
      <c r="T41" s="93"/>
      <c r="U41" s="286"/>
      <c r="V41" s="286"/>
      <c r="W41" s="286"/>
    </row>
    <row r="42" spans="1:33" s="288" customFormat="1" ht="12.75" hidden="1" customHeight="1" outlineLevel="1">
      <c r="B42" s="1057"/>
      <c r="C42" s="1022" t="str">
        <f>IF('Język - Language'!$B$30="Polski","MOTORYZACJA","AUTOMOTIVE")</f>
        <v>MOTORYZACJA</v>
      </c>
      <c r="D42" s="398" t="s">
        <v>33</v>
      </c>
      <c r="E42" s="399"/>
      <c r="F42" s="451">
        <f>ROUND(F44*(1+0.3),-1)</f>
        <v>60</v>
      </c>
      <c r="G42" s="477">
        <v>72</v>
      </c>
      <c r="H42" s="451">
        <f>ROUND(H44*(1+0.3),-1)</f>
        <v>90</v>
      </c>
      <c r="I42" s="477">
        <v>108</v>
      </c>
      <c r="J42" s="451">
        <f>ROUND(J44*(1+0.3),-1)</f>
        <v>120</v>
      </c>
      <c r="K42" s="477">
        <v>144</v>
      </c>
      <c r="L42" s="451">
        <v>140</v>
      </c>
      <c r="M42" s="477">
        <v>168</v>
      </c>
      <c r="N42" s="451">
        <f>ROUND(N44*(1+0.3),-1)</f>
        <v>160</v>
      </c>
      <c r="O42" s="477">
        <v>192</v>
      </c>
      <c r="P42" s="518">
        <f>ROUND(P44*(1+0.3),-1)</f>
        <v>20</v>
      </c>
      <c r="Q42" s="583" t="s">
        <v>58</v>
      </c>
      <c r="R42" s="575">
        <f>ROUND(R44*(1+0.3),-1)</f>
        <v>60</v>
      </c>
      <c r="S42" s="593" t="s">
        <v>58</v>
      </c>
      <c r="T42" s="93"/>
      <c r="U42" s="286"/>
      <c r="V42" s="286"/>
      <c r="W42" s="286"/>
    </row>
    <row r="43" spans="1:33" s="288" customFormat="1" ht="12.75" hidden="1" customHeight="1" outlineLevel="1">
      <c r="B43" s="1057"/>
      <c r="C43" s="998"/>
      <c r="D43" s="400" t="s">
        <v>40</v>
      </c>
      <c r="E43" s="401"/>
      <c r="F43" s="455">
        <f>ROUND(F44*(1+0.3),-1)</f>
        <v>60</v>
      </c>
      <c r="G43" s="479">
        <v>72</v>
      </c>
      <c r="H43" s="455">
        <f>ROUND(H44*(1+0.3),-1)</f>
        <v>90</v>
      </c>
      <c r="I43" s="479">
        <v>108</v>
      </c>
      <c r="J43" s="455">
        <f>ROUND(J44*(1+0.3),-1)</f>
        <v>120</v>
      </c>
      <c r="K43" s="479">
        <v>144</v>
      </c>
      <c r="L43" s="455">
        <v>140</v>
      </c>
      <c r="M43" s="479">
        <v>168</v>
      </c>
      <c r="N43" s="455">
        <f>ROUND(N44*(1+0.3),-1)</f>
        <v>160</v>
      </c>
      <c r="O43" s="479">
        <v>192</v>
      </c>
      <c r="P43" s="574">
        <f>ROUND(P44*(1+0.3),-1)</f>
        <v>20</v>
      </c>
      <c r="Q43" s="585" t="s">
        <v>58</v>
      </c>
      <c r="R43" s="489">
        <f>ROUND(R44*(1+0.3),-1)</f>
        <v>60</v>
      </c>
      <c r="S43" s="595" t="s">
        <v>58</v>
      </c>
      <c r="T43" s="93"/>
      <c r="U43" s="286"/>
      <c r="V43" s="286"/>
      <c r="W43" s="286"/>
    </row>
    <row r="44" spans="1:33" ht="36" customHeight="1" collapsed="1">
      <c r="A44" s="288"/>
      <c r="B44" s="1057"/>
      <c r="C44" s="1023"/>
      <c r="D44" s="817" t="str">
        <f>D42&amp;", "&amp;D43</f>
        <v>WP Autokult, WP Moto</v>
      </c>
      <c r="E44" s="818"/>
      <c r="F44" s="458">
        <v>45</v>
      </c>
      <c r="G44" s="473">
        <v>54</v>
      </c>
      <c r="H44" s="458">
        <v>68</v>
      </c>
      <c r="I44" s="473">
        <v>81</v>
      </c>
      <c r="J44" s="458">
        <v>90</v>
      </c>
      <c r="K44" s="473">
        <v>108</v>
      </c>
      <c r="L44" s="452" t="s">
        <v>58</v>
      </c>
      <c r="M44" s="473" t="s">
        <v>58</v>
      </c>
      <c r="N44" s="452">
        <v>120</v>
      </c>
      <c r="O44" s="473">
        <v>144</v>
      </c>
      <c r="P44" s="553">
        <v>14</v>
      </c>
      <c r="Q44" s="579" t="s">
        <v>58</v>
      </c>
      <c r="R44" s="555">
        <v>45</v>
      </c>
      <c r="S44" s="596" t="s">
        <v>58</v>
      </c>
      <c r="T44" s="95"/>
      <c r="U44" s="286"/>
      <c r="V44" s="286"/>
      <c r="W44" s="286"/>
      <c r="X44" s="288"/>
      <c r="Y44" s="288"/>
      <c r="Z44" s="288"/>
      <c r="AA44" s="288"/>
      <c r="AB44" s="288"/>
      <c r="AC44" s="288"/>
      <c r="AD44" s="288"/>
      <c r="AE44" s="288"/>
      <c r="AF44" s="288"/>
      <c r="AG44" s="288"/>
    </row>
    <row r="45" spans="1:33" s="288" customFormat="1" ht="12.75" hidden="1" customHeight="1" outlineLevel="1">
      <c r="B45" s="1057"/>
      <c r="C45" s="1024" t="str">
        <f>IF('Język - Language'!$B$30="Polski","ROZRYWKA","FUN")</f>
        <v>ROZRYWKA</v>
      </c>
      <c r="D45" s="398" t="s">
        <v>42</v>
      </c>
      <c r="E45" s="399"/>
      <c r="F45" s="451">
        <f>ROUND(F57*(1+0.3),-1)</f>
        <v>40</v>
      </c>
      <c r="G45" s="477">
        <v>48</v>
      </c>
      <c r="H45" s="451">
        <f>ROUND(H57*(1+0.3),-1)</f>
        <v>60</v>
      </c>
      <c r="I45" s="477">
        <v>72</v>
      </c>
      <c r="J45" s="451">
        <f>ROUND(J57*(1+0.3),-1)</f>
        <v>80</v>
      </c>
      <c r="K45" s="477">
        <v>96</v>
      </c>
      <c r="L45" s="451">
        <v>90</v>
      </c>
      <c r="M45" s="477">
        <v>108</v>
      </c>
      <c r="N45" s="451">
        <f>ROUND(N57*(1+0.3),-1)</f>
        <v>100</v>
      </c>
      <c r="O45" s="477">
        <v>120</v>
      </c>
      <c r="P45" s="518">
        <f>ROUND(P57*(1+0.3),-1)</f>
        <v>20</v>
      </c>
      <c r="Q45" s="583" t="s">
        <v>58</v>
      </c>
      <c r="R45" s="575">
        <f>ROUND(R57*(1+0.3),-1)</f>
        <v>40</v>
      </c>
      <c r="S45" s="597" t="s">
        <v>58</v>
      </c>
      <c r="T45" s="95"/>
      <c r="U45" s="286"/>
      <c r="V45" s="286"/>
      <c r="W45" s="286"/>
    </row>
    <row r="46" spans="1:33" s="288" customFormat="1" ht="12.75" hidden="1" customHeight="1" outlineLevel="1">
      <c r="B46" s="1057"/>
      <c r="C46" s="1025"/>
      <c r="D46" s="440" t="s">
        <v>154</v>
      </c>
      <c r="E46" s="441"/>
      <c r="F46" s="453">
        <f>ROUND(F57*(1+0.3),-1)</f>
        <v>40</v>
      </c>
      <c r="G46" s="478">
        <v>48</v>
      </c>
      <c r="H46" s="453">
        <f>ROUND(H57*(1+0.3),-1)</f>
        <v>60</v>
      </c>
      <c r="I46" s="478">
        <v>72</v>
      </c>
      <c r="J46" s="453">
        <f>ROUND(J57*(1+0.3),-1)</f>
        <v>80</v>
      </c>
      <c r="K46" s="478">
        <v>96</v>
      </c>
      <c r="L46" s="453">
        <v>90</v>
      </c>
      <c r="M46" s="478">
        <v>108</v>
      </c>
      <c r="N46" s="453">
        <f>ROUND(N57*(1+0.3),-1)</f>
        <v>100</v>
      </c>
      <c r="O46" s="478">
        <v>120</v>
      </c>
      <c r="P46" s="519">
        <f>ROUND(P57*(1+0.3),-1)</f>
        <v>20</v>
      </c>
      <c r="Q46" s="584" t="s">
        <v>58</v>
      </c>
      <c r="R46" s="576">
        <f>ROUND(R57*(1+0.3),-1)</f>
        <v>40</v>
      </c>
      <c r="S46" s="598" t="s">
        <v>58</v>
      </c>
      <c r="T46" s="95"/>
      <c r="U46" s="286"/>
      <c r="V46" s="286"/>
      <c r="W46" s="286"/>
    </row>
    <row r="47" spans="1:33" s="288" customFormat="1" ht="12.75" hidden="1" customHeight="1" outlineLevel="1">
      <c r="B47" s="1057"/>
      <c r="C47" s="1025"/>
      <c r="D47" s="402" t="s">
        <v>65</v>
      </c>
      <c r="E47" s="403"/>
      <c r="F47" s="453">
        <f>ROUND(F57*(1+0.3),-1)</f>
        <v>40</v>
      </c>
      <c r="G47" s="478">
        <v>48</v>
      </c>
      <c r="H47" s="453">
        <f>ROUND(H57*(1+0.3),-1)</f>
        <v>60</v>
      </c>
      <c r="I47" s="478">
        <v>72</v>
      </c>
      <c r="J47" s="453">
        <f>ROUND(J57*(1+0.3),-1)</f>
        <v>80</v>
      </c>
      <c r="K47" s="478">
        <v>96</v>
      </c>
      <c r="L47" s="453">
        <v>90</v>
      </c>
      <c r="M47" s="478">
        <v>108</v>
      </c>
      <c r="N47" s="453">
        <f>ROUND(N57*(1+0.3),-1)</f>
        <v>100</v>
      </c>
      <c r="O47" s="478">
        <v>120</v>
      </c>
      <c r="P47" s="519">
        <f>ROUND(P57*(1+0.3),-1)</f>
        <v>20</v>
      </c>
      <c r="Q47" s="584" t="s">
        <v>58</v>
      </c>
      <c r="R47" s="576">
        <f>ROUND(R57*(1+0.3),-1)</f>
        <v>40</v>
      </c>
      <c r="S47" s="598" t="s">
        <v>58</v>
      </c>
      <c r="T47" s="95"/>
      <c r="U47" s="286"/>
      <c r="V47" s="286"/>
      <c r="W47" s="286"/>
    </row>
    <row r="48" spans="1:33" s="288" customFormat="1" ht="12.75" hidden="1" customHeight="1" outlineLevel="1">
      <c r="B48" s="1057"/>
      <c r="C48" s="1025"/>
      <c r="D48" s="402" t="s">
        <v>45</v>
      </c>
      <c r="E48" s="403"/>
      <c r="F48" s="453">
        <f>ROUND(F57*(1+0.3),-1)</f>
        <v>40</v>
      </c>
      <c r="G48" s="478">
        <v>48</v>
      </c>
      <c r="H48" s="453">
        <f>ROUND(H57*(1+0.3),-1)</f>
        <v>60</v>
      </c>
      <c r="I48" s="478">
        <v>72</v>
      </c>
      <c r="J48" s="453">
        <f>ROUND(J57*(1+0.3),-1)</f>
        <v>80</v>
      </c>
      <c r="K48" s="478">
        <v>96</v>
      </c>
      <c r="L48" s="453">
        <v>90</v>
      </c>
      <c r="M48" s="478">
        <v>108</v>
      </c>
      <c r="N48" s="453">
        <f>ROUND(N57*(1+0.3),-1)</f>
        <v>100</v>
      </c>
      <c r="O48" s="478">
        <v>120</v>
      </c>
      <c r="P48" s="519">
        <f>ROUND(P57*(1+0.3),-1)</f>
        <v>20</v>
      </c>
      <c r="Q48" s="584" t="s">
        <v>58</v>
      </c>
      <c r="R48" s="576">
        <f>ROUND(R57*(1+0.3),-1)</f>
        <v>40</v>
      </c>
      <c r="S48" s="598" t="s">
        <v>58</v>
      </c>
      <c r="T48" s="95"/>
      <c r="U48" s="286"/>
      <c r="V48" s="286"/>
      <c r="W48" s="286"/>
    </row>
    <row r="49" spans="1:28" s="288" customFormat="1" ht="12.75" hidden="1" customHeight="1" outlineLevel="1">
      <c r="B49" s="1057"/>
      <c r="C49" s="1025"/>
      <c r="D49" s="402" t="s">
        <v>145</v>
      </c>
      <c r="E49" s="403"/>
      <c r="F49" s="453">
        <f>ROUND(F57*(1+0.3),-1)</f>
        <v>40</v>
      </c>
      <c r="G49" s="478">
        <v>48</v>
      </c>
      <c r="H49" s="453">
        <f>ROUND(H57*(1+0.3),-1)</f>
        <v>60</v>
      </c>
      <c r="I49" s="478">
        <v>72</v>
      </c>
      <c r="J49" s="453">
        <f>ROUND(J57*(1+0.3),-1)</f>
        <v>80</v>
      </c>
      <c r="K49" s="478">
        <v>96</v>
      </c>
      <c r="L49" s="453">
        <v>90</v>
      </c>
      <c r="M49" s="478">
        <v>108</v>
      </c>
      <c r="N49" s="453">
        <f>ROUND(N57*(1+0.3),-1)</f>
        <v>100</v>
      </c>
      <c r="O49" s="478">
        <v>120</v>
      </c>
      <c r="P49" s="519">
        <f>ROUND(P57*(1+0.3),-1)</f>
        <v>20</v>
      </c>
      <c r="Q49" s="584" t="s">
        <v>58</v>
      </c>
      <c r="R49" s="576">
        <f>ROUND(R57*(1+0.3),-1)</f>
        <v>40</v>
      </c>
      <c r="S49" s="598" t="s">
        <v>58</v>
      </c>
      <c r="T49" s="95"/>
      <c r="U49" s="286"/>
      <c r="V49" s="286"/>
      <c r="W49" s="286"/>
    </row>
    <row r="50" spans="1:28" s="288" customFormat="1" ht="12.75" hidden="1" customHeight="1" outlineLevel="1">
      <c r="B50" s="1057"/>
      <c r="C50" s="1025"/>
      <c r="D50" s="402" t="s">
        <v>146</v>
      </c>
      <c r="E50" s="403"/>
      <c r="F50" s="453">
        <f>ROUND(F57*(1+0.3),-1)</f>
        <v>40</v>
      </c>
      <c r="G50" s="478">
        <v>48</v>
      </c>
      <c r="H50" s="453">
        <f>ROUND(H57*(1+0.3),-1)</f>
        <v>60</v>
      </c>
      <c r="I50" s="478">
        <v>72</v>
      </c>
      <c r="J50" s="453">
        <f>ROUND(J57*(1+0.3),-1)</f>
        <v>80</v>
      </c>
      <c r="K50" s="478">
        <v>96</v>
      </c>
      <c r="L50" s="453">
        <v>90</v>
      </c>
      <c r="M50" s="478">
        <v>108</v>
      </c>
      <c r="N50" s="453">
        <f>ROUND(N57*(1+0.3),-1)</f>
        <v>100</v>
      </c>
      <c r="O50" s="478">
        <v>120</v>
      </c>
      <c r="P50" s="519">
        <f>ROUND(P57*(1+0.3),-1)</f>
        <v>20</v>
      </c>
      <c r="Q50" s="584" t="s">
        <v>58</v>
      </c>
      <c r="R50" s="576">
        <f>ROUND(R57*(1+0.3),-1)</f>
        <v>40</v>
      </c>
      <c r="S50" s="598" t="s">
        <v>58</v>
      </c>
      <c r="T50" s="95"/>
      <c r="U50" s="286"/>
      <c r="V50" s="286"/>
      <c r="W50" s="286"/>
    </row>
    <row r="51" spans="1:28" s="288" customFormat="1" ht="12.75" hidden="1" customHeight="1" outlineLevel="1">
      <c r="B51" s="1057"/>
      <c r="C51" s="1025"/>
      <c r="D51" s="402" t="s">
        <v>139</v>
      </c>
      <c r="E51" s="403"/>
      <c r="F51" s="453">
        <f>ROUND(F85*(1+0.3),-1)</f>
        <v>60</v>
      </c>
      <c r="G51" s="478">
        <v>72</v>
      </c>
      <c r="H51" s="453">
        <f>ROUND(H85*(1+0.3),-1)</f>
        <v>90</v>
      </c>
      <c r="I51" s="478">
        <v>108</v>
      </c>
      <c r="J51" s="453">
        <f>ROUND(J85*(1+0.3),-1)</f>
        <v>120</v>
      </c>
      <c r="K51" s="478">
        <v>144</v>
      </c>
      <c r="L51" s="453">
        <v>140</v>
      </c>
      <c r="M51" s="478">
        <v>168</v>
      </c>
      <c r="N51" s="453" t="s">
        <v>58</v>
      </c>
      <c r="O51" s="454" t="s">
        <v>58</v>
      </c>
      <c r="P51" s="519">
        <f>ROUND(P85*(1+0.3),-1)</f>
        <v>20</v>
      </c>
      <c r="Q51" s="584" t="s">
        <v>58</v>
      </c>
      <c r="R51" s="576">
        <f>ROUND(R85*(1+0.3),-1)</f>
        <v>60</v>
      </c>
      <c r="S51" s="598" t="s">
        <v>58</v>
      </c>
      <c r="T51" s="95"/>
      <c r="U51" s="286"/>
      <c r="V51" s="286"/>
      <c r="W51" s="286"/>
    </row>
    <row r="52" spans="1:28" s="288" customFormat="1" ht="12.75" hidden="1" customHeight="1" outlineLevel="1">
      <c r="B52" s="1057"/>
      <c r="C52" s="1025"/>
      <c r="D52" s="402" t="s">
        <v>147</v>
      </c>
      <c r="E52" s="403"/>
      <c r="F52" s="453">
        <f>ROUND(F85*(1+0.3),-1)</f>
        <v>60</v>
      </c>
      <c r="G52" s="478">
        <v>72</v>
      </c>
      <c r="H52" s="453">
        <f>ROUND(H85*(1+0.3),-1)</f>
        <v>90</v>
      </c>
      <c r="I52" s="478">
        <v>108</v>
      </c>
      <c r="J52" s="453">
        <f>ROUND(J85*(1+0.3),-1)</f>
        <v>120</v>
      </c>
      <c r="K52" s="478">
        <v>144</v>
      </c>
      <c r="L52" s="453">
        <v>140</v>
      </c>
      <c r="M52" s="478">
        <v>168</v>
      </c>
      <c r="N52" s="453" t="s">
        <v>58</v>
      </c>
      <c r="O52" s="454" t="s">
        <v>58</v>
      </c>
      <c r="P52" s="519">
        <f>ROUND(P85*(1+0.3),-1)</f>
        <v>20</v>
      </c>
      <c r="Q52" s="584" t="s">
        <v>58</v>
      </c>
      <c r="R52" s="576">
        <f>ROUND(R85*(1+0.3),-1)</f>
        <v>60</v>
      </c>
      <c r="S52" s="598" t="s">
        <v>58</v>
      </c>
      <c r="T52" s="95"/>
      <c r="U52" s="286"/>
      <c r="V52" s="286"/>
      <c r="W52" s="286"/>
    </row>
    <row r="53" spans="1:28" s="288" customFormat="1" ht="12.75" hidden="1" customHeight="1" outlineLevel="1">
      <c r="B53" s="1057"/>
      <c r="C53" s="1025"/>
      <c r="D53" s="402" t="s">
        <v>55</v>
      </c>
      <c r="E53" s="403"/>
      <c r="F53" s="453">
        <f>ROUND(F57*(1+1),-1)</f>
        <v>60</v>
      </c>
      <c r="G53" s="478">
        <v>72</v>
      </c>
      <c r="H53" s="453">
        <f>ROUND(H57*(1+1),-1)</f>
        <v>90</v>
      </c>
      <c r="I53" s="478">
        <v>108</v>
      </c>
      <c r="J53" s="453">
        <f>ROUND(J57*(1+1),-1)</f>
        <v>120</v>
      </c>
      <c r="K53" s="478">
        <v>144</v>
      </c>
      <c r="L53" s="453">
        <v>140</v>
      </c>
      <c r="M53" s="478">
        <v>168</v>
      </c>
      <c r="N53" s="453">
        <f>ROUND(N57*(1+1),-1)</f>
        <v>160</v>
      </c>
      <c r="O53" s="478">
        <v>192</v>
      </c>
      <c r="P53" s="519">
        <f>ROUND(P85*(1+0.3),-1)</f>
        <v>20</v>
      </c>
      <c r="Q53" s="584" t="s">
        <v>58</v>
      </c>
      <c r="R53" s="576">
        <f>ROUND(R85*(1+0.3),-1)</f>
        <v>60</v>
      </c>
      <c r="S53" s="598" t="s">
        <v>58</v>
      </c>
      <c r="T53" s="95"/>
      <c r="U53" s="286"/>
      <c r="V53" s="286"/>
      <c r="W53" s="286"/>
    </row>
    <row r="54" spans="1:28" s="288" customFormat="1" ht="12.75" hidden="1" customHeight="1" outlineLevel="1">
      <c r="B54" s="1057"/>
      <c r="C54" s="1025"/>
      <c r="D54" s="402" t="s">
        <v>148</v>
      </c>
      <c r="E54" s="403"/>
      <c r="F54" s="453">
        <f>ROUND(F57*(1+0.3),-1)</f>
        <v>40</v>
      </c>
      <c r="G54" s="478">
        <v>48</v>
      </c>
      <c r="H54" s="453">
        <f>ROUND(H57*(1+0.3),-1)</f>
        <v>60</v>
      </c>
      <c r="I54" s="478">
        <v>72</v>
      </c>
      <c r="J54" s="453">
        <f>ROUND(J57*(1+0.3),-1)</f>
        <v>80</v>
      </c>
      <c r="K54" s="478">
        <v>96</v>
      </c>
      <c r="L54" s="453">
        <v>90</v>
      </c>
      <c r="M54" s="478">
        <v>108</v>
      </c>
      <c r="N54" s="453">
        <f>ROUND(N57*(1+0.3),-1)</f>
        <v>100</v>
      </c>
      <c r="O54" s="478">
        <v>120</v>
      </c>
      <c r="P54" s="519">
        <f>ROUND(P57*(1+0.3),-1)</f>
        <v>20</v>
      </c>
      <c r="Q54" s="584" t="s">
        <v>58</v>
      </c>
      <c r="R54" s="576">
        <f>ROUND(R57*(1+0.3),-1)</f>
        <v>40</v>
      </c>
      <c r="S54" s="598" t="s">
        <v>58</v>
      </c>
      <c r="T54" s="95"/>
      <c r="U54" s="286"/>
      <c r="V54" s="286"/>
      <c r="W54" s="286"/>
    </row>
    <row r="55" spans="1:28" s="288" customFormat="1" ht="12.75" hidden="1" customHeight="1" outlineLevel="1">
      <c r="B55" s="1057"/>
      <c r="C55" s="1025"/>
      <c r="D55" s="402" t="s">
        <v>149</v>
      </c>
      <c r="E55" s="403"/>
      <c r="F55" s="453">
        <f>ROUND(F57*(1+0.3),-1)</f>
        <v>40</v>
      </c>
      <c r="G55" s="478">
        <v>48</v>
      </c>
      <c r="H55" s="453">
        <f>ROUND(H57*(1+0.3),-1)</f>
        <v>60</v>
      </c>
      <c r="I55" s="478">
        <v>72</v>
      </c>
      <c r="J55" s="453">
        <f>ROUND(J57*(1+0.3),-1)</f>
        <v>80</v>
      </c>
      <c r="K55" s="478">
        <v>96</v>
      </c>
      <c r="L55" s="453">
        <v>90</v>
      </c>
      <c r="M55" s="478">
        <v>108</v>
      </c>
      <c r="N55" s="453">
        <f>ROUND(N57*(1+0.3),-1)</f>
        <v>100</v>
      </c>
      <c r="O55" s="478">
        <v>120</v>
      </c>
      <c r="P55" s="519">
        <f>ROUND(P57*(1+0.3),-1)</f>
        <v>20</v>
      </c>
      <c r="Q55" s="584" t="s">
        <v>58</v>
      </c>
      <c r="R55" s="576">
        <f>ROUND(R57*(1+0.3),-1)</f>
        <v>40</v>
      </c>
      <c r="S55" s="598" t="s">
        <v>58</v>
      </c>
      <c r="T55" s="95"/>
      <c r="U55" s="286"/>
      <c r="V55" s="286"/>
      <c r="W55" s="286"/>
    </row>
    <row r="56" spans="1:28" s="288" customFormat="1" ht="12.75" hidden="1" customHeight="1" outlineLevel="1">
      <c r="B56" s="1057"/>
      <c r="C56" s="1025"/>
      <c r="D56" s="400" t="s">
        <v>150</v>
      </c>
      <c r="E56" s="401"/>
      <c r="F56" s="455">
        <f>ROUND(F85*(1+0.3),-1)</f>
        <v>60</v>
      </c>
      <c r="G56" s="479">
        <v>72</v>
      </c>
      <c r="H56" s="455">
        <f>ROUND(H85*(1+0.3),-1)</f>
        <v>90</v>
      </c>
      <c r="I56" s="479">
        <v>108</v>
      </c>
      <c r="J56" s="455">
        <f>ROUND(J85*(1+0.3),-1)</f>
        <v>120</v>
      </c>
      <c r="K56" s="479">
        <v>144</v>
      </c>
      <c r="L56" s="455">
        <v>140</v>
      </c>
      <c r="M56" s="479">
        <v>168</v>
      </c>
      <c r="N56" s="455" t="s">
        <v>58</v>
      </c>
      <c r="O56" s="456" t="s">
        <v>58</v>
      </c>
      <c r="P56" s="574">
        <f>ROUND(P85*(1+0.3),-1)</f>
        <v>20</v>
      </c>
      <c r="Q56" s="585" t="s">
        <v>58</v>
      </c>
      <c r="R56" s="489">
        <f>ROUND(R85*(1+0.3),-1)</f>
        <v>60</v>
      </c>
      <c r="S56" s="599" t="s">
        <v>58</v>
      </c>
      <c r="T56" s="95"/>
      <c r="U56" s="286"/>
      <c r="V56" s="286"/>
      <c r="W56" s="286"/>
    </row>
    <row r="57" spans="1:28" s="244" customFormat="1" ht="42" customHeight="1" collapsed="1">
      <c r="A57" s="288"/>
      <c r="B57" s="1057"/>
      <c r="C57" s="1026"/>
      <c r="D57" s="1008" t="str">
        <f>D45&amp;", "&amp;D46&amp;", "&amp;D47&amp;", "&amp;D48&amp;", "&amp;D49&amp;", "&amp;D50&amp;", "&amp;D51&amp;", "&amp;D52&amp;", "&amp;D53&amp;", "&amp;D54&amp;", "&amp;D55&amp;", "&amp;D56</f>
        <v>WP Film, WP Gry, WP Gwiazdy, WP Książki, WP Program TV, WP Teleshow, WP Pilot, WP Wideo, Pudelek, o2 serwisy, o2 warstwy, OpenFM</v>
      </c>
      <c r="E57" s="1009"/>
      <c r="F57" s="458">
        <v>30</v>
      </c>
      <c r="G57" s="473">
        <v>36</v>
      </c>
      <c r="H57" s="458">
        <v>45</v>
      </c>
      <c r="I57" s="473">
        <v>54</v>
      </c>
      <c r="J57" s="458">
        <v>60</v>
      </c>
      <c r="K57" s="473">
        <v>72</v>
      </c>
      <c r="L57" s="452" t="s">
        <v>58</v>
      </c>
      <c r="M57" s="473" t="s">
        <v>58</v>
      </c>
      <c r="N57" s="452">
        <v>78</v>
      </c>
      <c r="O57" s="473">
        <v>94</v>
      </c>
      <c r="P57" s="551">
        <v>12</v>
      </c>
      <c r="Q57" s="579" t="s">
        <v>58</v>
      </c>
      <c r="R57" s="555">
        <v>30</v>
      </c>
      <c r="S57" s="589" t="s">
        <v>58</v>
      </c>
      <c r="T57" s="93"/>
      <c r="U57" s="286"/>
      <c r="V57" s="286"/>
      <c r="W57" s="286"/>
      <c r="X57" s="288"/>
      <c r="Y57" s="288"/>
      <c r="Z57" s="288"/>
      <c r="AA57" s="288"/>
      <c r="AB57" s="288"/>
    </row>
    <row r="58" spans="1:28" s="288" customFormat="1" ht="12.75" hidden="1" customHeight="1" outlineLevel="1">
      <c r="B58" s="1057"/>
      <c r="C58" s="1024" t="str">
        <f>IF('Język - Language'!$B$30="Polski","STYL ŻYCIA","LIFESTYLE")</f>
        <v>STYL ŻYCIA</v>
      </c>
      <c r="D58" s="398" t="s">
        <v>37</v>
      </c>
      <c r="E58" s="399"/>
      <c r="F58" s="451">
        <f>ROUND(F81*(1+0.3),-1)</f>
        <v>110</v>
      </c>
      <c r="G58" s="477">
        <v>132</v>
      </c>
      <c r="H58" s="451">
        <f>ROUND(H81*(1+0.3),-1)</f>
        <v>160</v>
      </c>
      <c r="I58" s="477">
        <v>192</v>
      </c>
      <c r="J58" s="451">
        <f>ROUND(J81*(1+0.3),-1)</f>
        <v>210</v>
      </c>
      <c r="K58" s="477">
        <v>252</v>
      </c>
      <c r="L58" s="451">
        <v>240</v>
      </c>
      <c r="M58" s="477">
        <v>288</v>
      </c>
      <c r="N58" s="451">
        <f>ROUND(N81*(1+0.3),-1)</f>
        <v>270</v>
      </c>
      <c r="O58" s="477">
        <v>324</v>
      </c>
      <c r="P58" s="518">
        <f>ROUND(P81*(1+0.3),-1)</f>
        <v>20</v>
      </c>
      <c r="Q58" s="583" t="s">
        <v>58</v>
      </c>
      <c r="R58" s="518">
        <f>ROUND(R81*(1+0.3),-1)</f>
        <v>110</v>
      </c>
      <c r="S58" s="593" t="s">
        <v>58</v>
      </c>
      <c r="T58" s="93"/>
      <c r="U58" s="286"/>
      <c r="V58" s="286"/>
      <c r="W58" s="286"/>
    </row>
    <row r="59" spans="1:28" s="288" customFormat="1" ht="12.75" hidden="1" customHeight="1" outlineLevel="1">
      <c r="B59" s="1057"/>
      <c r="C59" s="1025"/>
      <c r="D59" s="440" t="s">
        <v>237</v>
      </c>
      <c r="E59" s="441"/>
      <c r="F59" s="636">
        <f>ROUND(F68*(1+0.3),-1)</f>
        <v>60</v>
      </c>
      <c r="G59" s="637">
        <v>72</v>
      </c>
      <c r="H59" s="636">
        <f>ROUND(H68*(1+0.3),-1)</f>
        <v>90</v>
      </c>
      <c r="I59" s="637">
        <v>108</v>
      </c>
      <c r="J59" s="636">
        <f>ROUND(J68*(1+0.3),-1)</f>
        <v>120</v>
      </c>
      <c r="K59" s="637">
        <v>144</v>
      </c>
      <c r="L59" s="636">
        <v>140</v>
      </c>
      <c r="M59" s="637">
        <v>168</v>
      </c>
      <c r="N59" s="636">
        <f>ROUND(N68*(1+0.3),-1)</f>
        <v>160</v>
      </c>
      <c r="O59" s="637">
        <v>192</v>
      </c>
      <c r="P59" s="638">
        <f>ROUND(P68*(1+0.3),-1)</f>
        <v>20</v>
      </c>
      <c r="Q59" s="639" t="s">
        <v>58</v>
      </c>
      <c r="R59" s="638">
        <f>ROUND(R68*(1+0.3),-1)</f>
        <v>60</v>
      </c>
      <c r="S59" s="640" t="s">
        <v>58</v>
      </c>
      <c r="T59" s="93"/>
      <c r="U59" s="286"/>
      <c r="V59" s="286"/>
      <c r="W59" s="286"/>
    </row>
    <row r="60" spans="1:28" s="288" customFormat="1" ht="12.75" hidden="1" customHeight="1" outlineLevel="1">
      <c r="B60" s="1057"/>
      <c r="C60" s="1025"/>
      <c r="D60" s="402" t="s">
        <v>47</v>
      </c>
      <c r="E60" s="403"/>
      <c r="F60" s="453">
        <f>ROUND(F68*(1+0.3),-1)</f>
        <v>60</v>
      </c>
      <c r="G60" s="478">
        <v>72</v>
      </c>
      <c r="H60" s="453">
        <f>ROUND(H68*(1+0.3),-1)</f>
        <v>90</v>
      </c>
      <c r="I60" s="478">
        <v>108</v>
      </c>
      <c r="J60" s="453">
        <f>ROUND(J68*(1+0.3),-1)</f>
        <v>120</v>
      </c>
      <c r="K60" s="478">
        <v>144</v>
      </c>
      <c r="L60" s="453">
        <v>140</v>
      </c>
      <c r="M60" s="478">
        <v>168</v>
      </c>
      <c r="N60" s="453">
        <f>ROUND(N68*(1+0.3),-1)</f>
        <v>160</v>
      </c>
      <c r="O60" s="478">
        <v>192</v>
      </c>
      <c r="P60" s="519">
        <f>ROUND(P68*(1+0.3),-1)</f>
        <v>20</v>
      </c>
      <c r="Q60" s="584" t="s">
        <v>58</v>
      </c>
      <c r="R60" s="519">
        <f>ROUND(R68*(1+0.3),-1)</f>
        <v>60</v>
      </c>
      <c r="S60" s="594" t="s">
        <v>58</v>
      </c>
      <c r="T60" s="93"/>
      <c r="U60" s="286"/>
      <c r="V60" s="286"/>
      <c r="W60" s="286"/>
    </row>
    <row r="61" spans="1:28" s="288" customFormat="1" ht="12.75" hidden="1" customHeight="1" outlineLevel="1">
      <c r="B61" s="1057"/>
      <c r="C61" s="1025"/>
      <c r="D61" s="402" t="s">
        <v>44</v>
      </c>
      <c r="E61" s="403"/>
      <c r="F61" s="453">
        <f>ROUND(F68*(1+0.3),-1)</f>
        <v>60</v>
      </c>
      <c r="G61" s="478">
        <v>72</v>
      </c>
      <c r="H61" s="453">
        <f>ROUND(H68*(1+0.3),-1)</f>
        <v>90</v>
      </c>
      <c r="I61" s="478">
        <v>108</v>
      </c>
      <c r="J61" s="453">
        <f>ROUND(J68*(1+0.3),-1)</f>
        <v>120</v>
      </c>
      <c r="K61" s="478">
        <v>144</v>
      </c>
      <c r="L61" s="453">
        <v>140</v>
      </c>
      <c r="M61" s="478">
        <v>168</v>
      </c>
      <c r="N61" s="453">
        <f>ROUND(N68*(1+0.3),-1)</f>
        <v>160</v>
      </c>
      <c r="O61" s="478">
        <v>192</v>
      </c>
      <c r="P61" s="519">
        <f>ROUND(P68*(1+0.3),-1)</f>
        <v>20</v>
      </c>
      <c r="Q61" s="584" t="s">
        <v>58</v>
      </c>
      <c r="R61" s="519">
        <f>ROUND(R68*(1+0.3),-1)</f>
        <v>60</v>
      </c>
      <c r="S61" s="594" t="s">
        <v>58</v>
      </c>
      <c r="T61" s="93"/>
      <c r="U61" s="286"/>
      <c r="V61" s="286"/>
      <c r="W61" s="286"/>
    </row>
    <row r="62" spans="1:28" s="288" customFormat="1" ht="12.75" hidden="1" customHeight="1" outlineLevel="1">
      <c r="B62" s="1057"/>
      <c r="C62" s="1025"/>
      <c r="D62" s="402" t="s">
        <v>151</v>
      </c>
      <c r="E62" s="403"/>
      <c r="F62" s="453">
        <f>ROUND(F68*(1+0.3),-1)</f>
        <v>60</v>
      </c>
      <c r="G62" s="478">
        <v>72</v>
      </c>
      <c r="H62" s="453">
        <f>ROUND(H68*(1+0.3),-1)</f>
        <v>90</v>
      </c>
      <c r="I62" s="478">
        <v>108</v>
      </c>
      <c r="J62" s="453">
        <f>ROUND(J68*(1+0.3),-1)</f>
        <v>120</v>
      </c>
      <c r="K62" s="478">
        <v>144</v>
      </c>
      <c r="L62" s="453">
        <v>140</v>
      </c>
      <c r="M62" s="478">
        <v>168</v>
      </c>
      <c r="N62" s="453">
        <f>ROUND(N68*(1+0.3),-1)</f>
        <v>160</v>
      </c>
      <c r="O62" s="478">
        <v>192</v>
      </c>
      <c r="P62" s="519">
        <f>ROUND(P68*(1+0.3),-1)</f>
        <v>20</v>
      </c>
      <c r="Q62" s="584" t="s">
        <v>58</v>
      </c>
      <c r="R62" s="519">
        <f>ROUND(R68*(1+0.3),-1)</f>
        <v>60</v>
      </c>
      <c r="S62" s="594" t="s">
        <v>58</v>
      </c>
      <c r="T62" s="93"/>
      <c r="U62" s="286"/>
      <c r="V62" s="286"/>
      <c r="W62" s="286"/>
    </row>
    <row r="63" spans="1:28" s="288" customFormat="1" ht="12.75" hidden="1" customHeight="1" outlineLevel="1">
      <c r="B63" s="1057"/>
      <c r="C63" s="1025"/>
      <c r="D63" s="402" t="s">
        <v>46</v>
      </c>
      <c r="E63" s="403"/>
      <c r="F63" s="453">
        <f>ROUND(F68*(1+0.3),-1)</f>
        <v>60</v>
      </c>
      <c r="G63" s="478">
        <v>72</v>
      </c>
      <c r="H63" s="453">
        <f>ROUND(H68*(1+0.3),-1)</f>
        <v>90</v>
      </c>
      <c r="I63" s="478">
        <v>108</v>
      </c>
      <c r="J63" s="453">
        <f>ROUND(J68*(1+0.3),-1)</f>
        <v>120</v>
      </c>
      <c r="K63" s="478">
        <v>144</v>
      </c>
      <c r="L63" s="453">
        <v>140</v>
      </c>
      <c r="M63" s="478">
        <v>168</v>
      </c>
      <c r="N63" s="453">
        <f>ROUND(N68*(1+0.3),-1)</f>
        <v>160</v>
      </c>
      <c r="O63" s="478">
        <v>192</v>
      </c>
      <c r="P63" s="519">
        <f>ROUND(P68*(1+0.3),-1)</f>
        <v>20</v>
      </c>
      <c r="Q63" s="584" t="s">
        <v>58</v>
      </c>
      <c r="R63" s="519">
        <f>ROUND(R68*(1+0.3),-1)</f>
        <v>60</v>
      </c>
      <c r="S63" s="594" t="s">
        <v>58</v>
      </c>
      <c r="T63" s="93"/>
      <c r="U63" s="286"/>
      <c r="V63" s="286"/>
      <c r="W63" s="286"/>
    </row>
    <row r="64" spans="1:28" s="288" customFormat="1" ht="12.75" hidden="1" customHeight="1" outlineLevel="1">
      <c r="B64" s="1057"/>
      <c r="C64" s="1025"/>
      <c r="D64" s="402" t="s">
        <v>38</v>
      </c>
      <c r="E64" s="403"/>
      <c r="F64" s="453">
        <f>ROUND(F68*(1+0.3),-1)</f>
        <v>60</v>
      </c>
      <c r="G64" s="478">
        <v>72</v>
      </c>
      <c r="H64" s="453">
        <f>ROUND(H68*(1+0.3),-1)</f>
        <v>90</v>
      </c>
      <c r="I64" s="478">
        <v>108</v>
      </c>
      <c r="J64" s="453">
        <f>ROUND(J68*(1+0.3),-1)</f>
        <v>120</v>
      </c>
      <c r="K64" s="478">
        <v>144</v>
      </c>
      <c r="L64" s="453">
        <v>140</v>
      </c>
      <c r="M64" s="478">
        <v>168</v>
      </c>
      <c r="N64" s="453">
        <f>ROUND(N68*(1+0.3),-1)</f>
        <v>160</v>
      </c>
      <c r="O64" s="478">
        <v>192</v>
      </c>
      <c r="P64" s="519">
        <f>ROUND(P68*(1+0.3),-1)</f>
        <v>20</v>
      </c>
      <c r="Q64" s="584" t="s">
        <v>58</v>
      </c>
      <c r="R64" s="519">
        <f>ROUND(R68*(1+0.3),-1)</f>
        <v>60</v>
      </c>
      <c r="S64" s="594" t="s">
        <v>58</v>
      </c>
      <c r="T64" s="93"/>
      <c r="U64" s="286"/>
      <c r="V64" s="286"/>
      <c r="W64" s="286"/>
    </row>
    <row r="65" spans="1:28" s="288" customFormat="1" ht="12.75" hidden="1" customHeight="1" outlineLevel="1">
      <c r="B65" s="1057"/>
      <c r="C65" s="1025"/>
      <c r="D65" s="402" t="s">
        <v>145</v>
      </c>
      <c r="E65" s="403"/>
      <c r="F65" s="453">
        <f>ROUND(F57*(1+0.3),-1)</f>
        <v>40</v>
      </c>
      <c r="G65" s="478">
        <v>48</v>
      </c>
      <c r="H65" s="453">
        <f>ROUND(H57*(1+0.3),-1)</f>
        <v>60</v>
      </c>
      <c r="I65" s="478">
        <v>72</v>
      </c>
      <c r="J65" s="453">
        <f>ROUND(J57*(1+0.3),-1)</f>
        <v>80</v>
      </c>
      <c r="K65" s="478">
        <v>96</v>
      </c>
      <c r="L65" s="453">
        <v>90</v>
      </c>
      <c r="M65" s="478">
        <v>108</v>
      </c>
      <c r="N65" s="453">
        <f>ROUND(N57*(1+0.3),-1)</f>
        <v>100</v>
      </c>
      <c r="O65" s="478">
        <v>120</v>
      </c>
      <c r="P65" s="519">
        <f>ROUND(P57*(1+0.3),-1)</f>
        <v>20</v>
      </c>
      <c r="Q65" s="584" t="s">
        <v>58</v>
      </c>
      <c r="R65" s="519">
        <f>ROUND(R57*(1+0.3),-1)</f>
        <v>40</v>
      </c>
      <c r="S65" s="594" t="s">
        <v>58</v>
      </c>
      <c r="T65" s="93"/>
      <c r="U65" s="286"/>
      <c r="V65" s="286"/>
      <c r="W65" s="286"/>
    </row>
    <row r="66" spans="1:28" s="288" customFormat="1" ht="12.75" hidden="1" customHeight="1" outlineLevel="1">
      <c r="B66" s="1057"/>
      <c r="C66" s="1025"/>
      <c r="D66" s="402" t="s">
        <v>43</v>
      </c>
      <c r="E66" s="403"/>
      <c r="F66" s="453">
        <f>ROUND(F68*(1+0.3),-1)</f>
        <v>60</v>
      </c>
      <c r="G66" s="478">
        <v>72</v>
      </c>
      <c r="H66" s="453">
        <f>ROUND(H68*(1+0.3),-1)</f>
        <v>90</v>
      </c>
      <c r="I66" s="478">
        <v>108</v>
      </c>
      <c r="J66" s="453">
        <f>ROUND(J68*(1+0.3),-1)</f>
        <v>120</v>
      </c>
      <c r="K66" s="478">
        <v>144</v>
      </c>
      <c r="L66" s="453">
        <v>140</v>
      </c>
      <c r="M66" s="478">
        <v>168</v>
      </c>
      <c r="N66" s="453">
        <f>ROUND(N68*(1+0.3),-1)</f>
        <v>160</v>
      </c>
      <c r="O66" s="478">
        <v>192</v>
      </c>
      <c r="P66" s="519">
        <f>ROUND(P68*(1+0.3),-1)</f>
        <v>20</v>
      </c>
      <c r="Q66" s="584" t="s">
        <v>58</v>
      </c>
      <c r="R66" s="519">
        <f>ROUND(R68*(1+0.3),-1)</f>
        <v>60</v>
      </c>
      <c r="S66" s="594" t="s">
        <v>58</v>
      </c>
      <c r="T66" s="93"/>
      <c r="U66" s="286"/>
      <c r="V66" s="286"/>
      <c r="W66" s="286"/>
    </row>
    <row r="67" spans="1:28" s="288" customFormat="1" ht="12.75" hidden="1" customHeight="1" outlineLevel="1">
      <c r="B67" s="1057"/>
      <c r="C67" s="1025"/>
      <c r="D67" s="400" t="s">
        <v>150</v>
      </c>
      <c r="E67" s="401"/>
      <c r="F67" s="455">
        <f>ROUND(F85*(1+0.3),-1)</f>
        <v>60</v>
      </c>
      <c r="G67" s="479">
        <v>72</v>
      </c>
      <c r="H67" s="455">
        <f>ROUND(H85*(1+0.3),-1)</f>
        <v>90</v>
      </c>
      <c r="I67" s="479">
        <v>108</v>
      </c>
      <c r="J67" s="455">
        <f>ROUND(J85*(1+0.3),-1)</f>
        <v>120</v>
      </c>
      <c r="K67" s="479">
        <v>144</v>
      </c>
      <c r="L67" s="455">
        <v>140</v>
      </c>
      <c r="M67" s="479">
        <v>168</v>
      </c>
      <c r="N67" s="455" t="s">
        <v>58</v>
      </c>
      <c r="O67" s="456" t="s">
        <v>58</v>
      </c>
      <c r="P67" s="574">
        <f>ROUND(P85*(1+0.3),-1)</f>
        <v>20</v>
      </c>
      <c r="Q67" s="585" t="s">
        <v>58</v>
      </c>
      <c r="R67" s="574">
        <f>ROUND(R85*(1+0.3),-1)</f>
        <v>60</v>
      </c>
      <c r="S67" s="590" t="s">
        <v>58</v>
      </c>
      <c r="T67" s="93"/>
      <c r="U67" s="286"/>
      <c r="V67" s="286"/>
      <c r="W67" s="286"/>
    </row>
    <row r="68" spans="1:28" ht="36" customHeight="1" collapsed="1">
      <c r="A68" s="288"/>
      <c r="B68" s="1057"/>
      <c r="C68" s="1026"/>
      <c r="D68" s="817" t="str">
        <f>D58&amp;", "&amp;D59&amp;", "&amp;D60&amp;", "&amp;D61&amp;", "&amp;D62&amp;", "&amp;D63&amp;", "&amp;D64&amp;", "&amp;D65&amp;", "&amp;D66&amp;", "&amp;D67</f>
        <v>WP abcZdrowie, WP Dom, WP Facet, WP Kobieta, Kafeteria.pl, WP Kuchnia, WP Parenting, WP Program TV, WP Turystyka, OpenFM</v>
      </c>
      <c r="E68" s="818"/>
      <c r="F68" s="458">
        <v>45</v>
      </c>
      <c r="G68" s="473">
        <v>54</v>
      </c>
      <c r="H68" s="458">
        <v>68</v>
      </c>
      <c r="I68" s="473">
        <v>81</v>
      </c>
      <c r="J68" s="458">
        <v>90</v>
      </c>
      <c r="K68" s="473">
        <v>108</v>
      </c>
      <c r="L68" s="452" t="s">
        <v>58</v>
      </c>
      <c r="M68" s="473" t="s">
        <v>58</v>
      </c>
      <c r="N68" s="452">
        <v>120</v>
      </c>
      <c r="O68" s="473">
        <v>144</v>
      </c>
      <c r="P68" s="551">
        <v>14</v>
      </c>
      <c r="Q68" s="579" t="s">
        <v>58</v>
      </c>
      <c r="R68" s="551">
        <v>45</v>
      </c>
      <c r="S68" s="600" t="s">
        <v>58</v>
      </c>
      <c r="T68" s="93"/>
      <c r="U68" s="286"/>
      <c r="V68" s="286"/>
      <c r="W68" s="286"/>
      <c r="X68" s="288"/>
      <c r="Y68" s="288"/>
      <c r="Z68" s="288"/>
      <c r="AA68" s="288"/>
      <c r="AB68" s="288"/>
    </row>
    <row r="69" spans="1:28" s="288" customFormat="1" ht="12.75" hidden="1" customHeight="1" outlineLevel="1">
      <c r="B69" s="1057"/>
      <c r="C69" s="1022" t="str">
        <f>IF('Język - Language'!$B$30="Polski","TECHNOLOGIA","TECHNOLOGY")</f>
        <v>TECHNOLOGIA</v>
      </c>
      <c r="D69" s="398" t="s">
        <v>152</v>
      </c>
      <c r="E69" s="399"/>
      <c r="F69" s="451">
        <f>ROUND(F75*(1+0.3),-1)</f>
        <v>60</v>
      </c>
      <c r="G69" s="477">
        <v>72</v>
      </c>
      <c r="H69" s="451">
        <f>ROUND(H75*(1+0.3),-1)</f>
        <v>90</v>
      </c>
      <c r="I69" s="477">
        <v>108</v>
      </c>
      <c r="J69" s="451">
        <f>ROUND(J75*(1+0.3),-1)</f>
        <v>120</v>
      </c>
      <c r="K69" s="477">
        <v>144</v>
      </c>
      <c r="L69" s="451">
        <v>140</v>
      </c>
      <c r="M69" s="477">
        <v>168</v>
      </c>
      <c r="N69" s="451">
        <f>ROUND(N75*(1+0.3),-1)</f>
        <v>160</v>
      </c>
      <c r="O69" s="477">
        <v>192</v>
      </c>
      <c r="P69" s="529">
        <f>ROUND(P75*(1+0.3),-1)</f>
        <v>20</v>
      </c>
      <c r="Q69" s="583" t="s">
        <v>58</v>
      </c>
      <c r="R69" s="529">
        <f>ROUND(R75*(1+0.3),-1)</f>
        <v>60</v>
      </c>
      <c r="S69" s="593" t="s">
        <v>58</v>
      </c>
      <c r="T69" s="93"/>
      <c r="U69" s="286"/>
      <c r="V69" s="286"/>
      <c r="W69" s="286"/>
    </row>
    <row r="70" spans="1:28" s="288" customFormat="1" ht="12.75" hidden="1" customHeight="1" outlineLevel="1">
      <c r="B70" s="1057"/>
      <c r="C70" s="998"/>
      <c r="D70" s="402" t="s">
        <v>154</v>
      </c>
      <c r="E70" s="403"/>
      <c r="F70" s="453">
        <f>ROUND(F75*(1+0.3),-1)</f>
        <v>60</v>
      </c>
      <c r="G70" s="478">
        <v>72</v>
      </c>
      <c r="H70" s="453">
        <f>ROUND(H75*(1+0.3),-1)</f>
        <v>90</v>
      </c>
      <c r="I70" s="478">
        <v>108</v>
      </c>
      <c r="J70" s="453">
        <f>ROUND(J75*(1+0.3),-1)</f>
        <v>120</v>
      </c>
      <c r="K70" s="478">
        <v>144</v>
      </c>
      <c r="L70" s="453">
        <v>140</v>
      </c>
      <c r="M70" s="478">
        <v>168</v>
      </c>
      <c r="N70" s="453">
        <f>ROUND(N75*(1+0.3),-1)</f>
        <v>160</v>
      </c>
      <c r="O70" s="478">
        <v>192</v>
      </c>
      <c r="P70" s="530">
        <f>ROUND(P75*(1+0.3),-1)</f>
        <v>20</v>
      </c>
      <c r="Q70" s="584" t="s">
        <v>58</v>
      </c>
      <c r="R70" s="530">
        <f>ROUND(R75*(1+0.3),-1)</f>
        <v>60</v>
      </c>
      <c r="S70" s="594" t="s">
        <v>58</v>
      </c>
      <c r="T70" s="93"/>
      <c r="U70" s="286"/>
      <c r="V70" s="286"/>
      <c r="W70" s="286"/>
    </row>
    <row r="71" spans="1:28" s="288" customFormat="1" ht="12.75" hidden="1" customHeight="1" outlineLevel="1">
      <c r="B71" s="1057"/>
      <c r="C71" s="998"/>
      <c r="D71" s="402" t="s">
        <v>36</v>
      </c>
      <c r="E71" s="403"/>
      <c r="F71" s="453">
        <f>ROUND(F75*(1+0.3),-1)</f>
        <v>60</v>
      </c>
      <c r="G71" s="478">
        <v>72</v>
      </c>
      <c r="H71" s="453">
        <f>ROUND(H75*(1+0.3),-1)</f>
        <v>90</v>
      </c>
      <c r="I71" s="478">
        <v>108</v>
      </c>
      <c r="J71" s="453">
        <f>ROUND(J75*(1+0.3),-1)</f>
        <v>120</v>
      </c>
      <c r="K71" s="478">
        <v>144</v>
      </c>
      <c r="L71" s="453">
        <v>140</v>
      </c>
      <c r="M71" s="478">
        <v>168</v>
      </c>
      <c r="N71" s="453">
        <f>ROUND(N75*(1+0.3),-1)</f>
        <v>160</v>
      </c>
      <c r="O71" s="478">
        <v>192</v>
      </c>
      <c r="P71" s="530">
        <f>ROUND(P75*(1+0.3),-1)</f>
        <v>20</v>
      </c>
      <c r="Q71" s="584" t="s">
        <v>58</v>
      </c>
      <c r="R71" s="530">
        <f>ROUND(R75*(1+0.3),-1)</f>
        <v>60</v>
      </c>
      <c r="S71" s="594" t="s">
        <v>58</v>
      </c>
      <c r="T71" s="93"/>
      <c r="U71" s="286"/>
      <c r="V71" s="286"/>
      <c r="W71" s="286"/>
    </row>
    <row r="72" spans="1:28" s="288" customFormat="1" ht="12.75" hidden="1" customHeight="1" outlineLevel="1">
      <c r="B72" s="1057"/>
      <c r="C72" s="998"/>
      <c r="D72" s="402" t="s">
        <v>34</v>
      </c>
      <c r="E72" s="403"/>
      <c r="F72" s="453">
        <f>ROUND(F75*(1+0.3),-1)</f>
        <v>60</v>
      </c>
      <c r="G72" s="478">
        <v>72</v>
      </c>
      <c r="H72" s="453">
        <f>ROUND(H75*(1+0.3),-1)</f>
        <v>90</v>
      </c>
      <c r="I72" s="478">
        <v>108</v>
      </c>
      <c r="J72" s="453">
        <f>ROUND(J75*(1+0.3),-1)</f>
        <v>120</v>
      </c>
      <c r="K72" s="478">
        <v>144</v>
      </c>
      <c r="L72" s="453">
        <v>140</v>
      </c>
      <c r="M72" s="478">
        <v>168</v>
      </c>
      <c r="N72" s="453">
        <f>ROUND(N75*(1+0.3),-1)</f>
        <v>160</v>
      </c>
      <c r="O72" s="478">
        <v>192</v>
      </c>
      <c r="P72" s="530">
        <f>ROUND(P75*(1+0.3),-1)</f>
        <v>20</v>
      </c>
      <c r="Q72" s="584" t="s">
        <v>58</v>
      </c>
      <c r="R72" s="530">
        <f>ROUND(R75*(1+0.3),-1)</f>
        <v>60</v>
      </c>
      <c r="S72" s="594" t="s">
        <v>58</v>
      </c>
      <c r="T72" s="93"/>
      <c r="U72" s="286"/>
      <c r="V72" s="286"/>
      <c r="W72" s="286"/>
    </row>
    <row r="73" spans="1:28" s="288" customFormat="1" ht="12.75" hidden="1" customHeight="1" outlineLevel="1">
      <c r="B73" s="1057"/>
      <c r="C73" s="998"/>
      <c r="D73" s="402" t="s">
        <v>35</v>
      </c>
      <c r="E73" s="403"/>
      <c r="F73" s="453">
        <f>ROUND(F75*(1+0.3),-1)</f>
        <v>60</v>
      </c>
      <c r="G73" s="478">
        <v>72</v>
      </c>
      <c r="H73" s="453">
        <f>ROUND(H75*(1+0.3),-1)</f>
        <v>90</v>
      </c>
      <c r="I73" s="478">
        <v>108</v>
      </c>
      <c r="J73" s="453">
        <f>ROUND(J75*(1+0.3),-1)</f>
        <v>120</v>
      </c>
      <c r="K73" s="478">
        <v>144</v>
      </c>
      <c r="L73" s="453">
        <v>140</v>
      </c>
      <c r="M73" s="478">
        <v>168</v>
      </c>
      <c r="N73" s="453">
        <f>ROUND(N75*(1+0.3),-1)</f>
        <v>160</v>
      </c>
      <c r="O73" s="478">
        <v>192</v>
      </c>
      <c r="P73" s="530">
        <f>ROUND(P75*(1+0.3),-1)</f>
        <v>20</v>
      </c>
      <c r="Q73" s="584" t="s">
        <v>58</v>
      </c>
      <c r="R73" s="530">
        <f>ROUND(R75*(1+0.3),-1)</f>
        <v>60</v>
      </c>
      <c r="S73" s="594" t="s">
        <v>58</v>
      </c>
      <c r="T73" s="93"/>
      <c r="U73" s="286"/>
      <c r="V73" s="286"/>
      <c r="W73" s="286"/>
    </row>
    <row r="74" spans="1:28" s="288" customFormat="1" ht="12.75" hidden="1" customHeight="1" outlineLevel="1">
      <c r="B74" s="1057"/>
      <c r="C74" s="998"/>
      <c r="D74" s="400" t="s">
        <v>155</v>
      </c>
      <c r="E74" s="401"/>
      <c r="F74" s="455">
        <f>ROUND(F75*(1+0.3),-1)</f>
        <v>60</v>
      </c>
      <c r="G74" s="479">
        <v>72</v>
      </c>
      <c r="H74" s="455">
        <f>ROUND(H75*(1+0.3),-1)</f>
        <v>90</v>
      </c>
      <c r="I74" s="479">
        <v>108</v>
      </c>
      <c r="J74" s="455">
        <f>ROUND(J75*(1+0.3),-1)</f>
        <v>120</v>
      </c>
      <c r="K74" s="479">
        <v>144</v>
      </c>
      <c r="L74" s="455">
        <v>140</v>
      </c>
      <c r="M74" s="479">
        <v>168</v>
      </c>
      <c r="N74" s="455">
        <f>ROUND(N75*(1+0.3),-1)</f>
        <v>160</v>
      </c>
      <c r="O74" s="479">
        <v>192</v>
      </c>
      <c r="P74" s="531">
        <f>ROUND(P75*(1+0.3),-1)</f>
        <v>20</v>
      </c>
      <c r="Q74" s="585" t="s">
        <v>58</v>
      </c>
      <c r="R74" s="531">
        <f>ROUND(R75*(1+0.3),-1)</f>
        <v>60</v>
      </c>
      <c r="S74" s="595" t="s">
        <v>58</v>
      </c>
      <c r="T74" s="93"/>
      <c r="U74" s="286"/>
      <c r="V74" s="286"/>
      <c r="W74" s="286"/>
    </row>
    <row r="75" spans="1:28" s="86" customFormat="1" ht="36" customHeight="1" collapsed="1">
      <c r="A75" s="288"/>
      <c r="B75" s="1057"/>
      <c r="C75" s="1023"/>
      <c r="D75" s="817" t="str">
        <f>D69&amp;", "&amp;D70&amp;", "&amp;D71&amp;", "&amp;D72&amp;", "&amp;D73&amp;", "&amp;D74</f>
        <v>WP Tech, WP Gry, WP Fotoblogia, WP Gadżetomania, WP Komórkomania, dobreprogramy.pl⁵</v>
      </c>
      <c r="E75" s="818"/>
      <c r="F75" s="458">
        <v>45</v>
      </c>
      <c r="G75" s="472">
        <v>54</v>
      </c>
      <c r="H75" s="458">
        <v>68</v>
      </c>
      <c r="I75" s="472">
        <v>81</v>
      </c>
      <c r="J75" s="458">
        <v>90</v>
      </c>
      <c r="K75" s="472">
        <v>108</v>
      </c>
      <c r="L75" s="452" t="s">
        <v>58</v>
      </c>
      <c r="M75" s="472" t="s">
        <v>58</v>
      </c>
      <c r="N75" s="452">
        <v>120</v>
      </c>
      <c r="O75" s="472">
        <v>144</v>
      </c>
      <c r="P75" s="551">
        <v>14</v>
      </c>
      <c r="Q75" s="588" t="s">
        <v>58</v>
      </c>
      <c r="R75" s="555">
        <v>45</v>
      </c>
      <c r="S75" s="600" t="s">
        <v>58</v>
      </c>
      <c r="T75" s="93"/>
      <c r="U75" s="286"/>
      <c r="V75" s="286"/>
      <c r="W75" s="286"/>
      <c r="X75" s="288"/>
      <c r="Y75" s="288"/>
      <c r="Z75" s="288"/>
      <c r="AA75" s="288"/>
      <c r="AB75" s="288"/>
    </row>
    <row r="76" spans="1:28" s="288" customFormat="1" ht="12.75" hidden="1" customHeight="1" outlineLevel="1">
      <c r="B76" s="1057"/>
      <c r="C76" s="1024" t="str">
        <f>IF('Język - Language'!$B$30="Polski","ZDROWIE I PARENTING","HEALTH AND PARENTING")</f>
        <v>ZDROWIE I PARENTING</v>
      </c>
      <c r="D76" s="398" t="s">
        <v>37</v>
      </c>
      <c r="E76" s="399"/>
      <c r="F76" s="451">
        <f>ROUND(F81*(1+0.3),-1)</f>
        <v>110</v>
      </c>
      <c r="G76" s="477">
        <v>132</v>
      </c>
      <c r="H76" s="451">
        <f>ROUND(H81*(1+0.3),-1)</f>
        <v>160</v>
      </c>
      <c r="I76" s="477">
        <v>192</v>
      </c>
      <c r="J76" s="451">
        <f>ROUND(J81*(1+0.3),-1)</f>
        <v>210</v>
      </c>
      <c r="K76" s="477">
        <v>252</v>
      </c>
      <c r="L76" s="451">
        <v>240</v>
      </c>
      <c r="M76" s="477">
        <v>288</v>
      </c>
      <c r="N76" s="451">
        <f>ROUND(N81*(1+0.3),-1)</f>
        <v>270</v>
      </c>
      <c r="O76" s="477">
        <v>324</v>
      </c>
      <c r="P76" s="529">
        <f>ROUND(P81*(1+0.3),-1)</f>
        <v>20</v>
      </c>
      <c r="Q76" s="583" t="s">
        <v>58</v>
      </c>
      <c r="R76" s="529">
        <f>ROUND(R81*(1+0.3),-1)</f>
        <v>110</v>
      </c>
      <c r="S76" s="593" t="s">
        <v>58</v>
      </c>
      <c r="T76" s="93"/>
      <c r="U76" s="286"/>
      <c r="V76" s="286"/>
      <c r="W76" s="286"/>
    </row>
    <row r="77" spans="1:28" s="288" customFormat="1" ht="12.75" hidden="1" customHeight="1" outlineLevel="1">
      <c r="B77" s="1057"/>
      <c r="C77" s="1025"/>
      <c r="D77" s="402" t="s">
        <v>153</v>
      </c>
      <c r="E77" s="403"/>
      <c r="F77" s="453">
        <f>ROUND(F81*(1+0.3),-1)</f>
        <v>110</v>
      </c>
      <c r="G77" s="478">
        <v>132</v>
      </c>
      <c r="H77" s="453">
        <f>ROUND(H81*(1+0.3),-1)</f>
        <v>160</v>
      </c>
      <c r="I77" s="478">
        <v>192</v>
      </c>
      <c r="J77" s="453">
        <f>ROUND(J81*(1+0.3),-1)</f>
        <v>210</v>
      </c>
      <c r="K77" s="478">
        <v>252</v>
      </c>
      <c r="L77" s="453">
        <v>240</v>
      </c>
      <c r="M77" s="478">
        <v>288</v>
      </c>
      <c r="N77" s="453">
        <f>ROUND(N81*(1+0.3),-1)</f>
        <v>270</v>
      </c>
      <c r="O77" s="478">
        <v>324</v>
      </c>
      <c r="P77" s="530">
        <f>ROUND(P81*(1+0.3),-1)</f>
        <v>20</v>
      </c>
      <c r="Q77" s="584" t="s">
        <v>58</v>
      </c>
      <c r="R77" s="530">
        <f>ROUND(R81*(1+0.3),-1)</f>
        <v>110</v>
      </c>
      <c r="S77" s="594" t="s">
        <v>58</v>
      </c>
      <c r="T77" s="93"/>
      <c r="U77" s="286"/>
      <c r="V77" s="286"/>
      <c r="W77" s="286"/>
    </row>
    <row r="78" spans="1:28" s="288" customFormat="1" ht="12.75" hidden="1" customHeight="1" outlineLevel="1">
      <c r="B78" s="1057"/>
      <c r="C78" s="1025"/>
      <c r="D78" s="402" t="s">
        <v>38</v>
      </c>
      <c r="E78" s="403"/>
      <c r="F78" s="453">
        <f>ROUND(F81*(1+0.3),-1)</f>
        <v>110</v>
      </c>
      <c r="G78" s="478">
        <v>132</v>
      </c>
      <c r="H78" s="453">
        <f>ROUND(H81*(1+0.3),-1)</f>
        <v>160</v>
      </c>
      <c r="I78" s="478">
        <v>192</v>
      </c>
      <c r="J78" s="453">
        <f>ROUND(J81*(1+0.3),-1)</f>
        <v>210</v>
      </c>
      <c r="K78" s="478">
        <v>252</v>
      </c>
      <c r="L78" s="453">
        <v>240</v>
      </c>
      <c r="M78" s="478">
        <v>288</v>
      </c>
      <c r="N78" s="453">
        <f>ROUND(N81*(1+0.3),-1)</f>
        <v>270</v>
      </c>
      <c r="O78" s="478">
        <v>324</v>
      </c>
      <c r="P78" s="530">
        <f>ROUND(P81*(1+0.3),-1)</f>
        <v>20</v>
      </c>
      <c r="Q78" s="584" t="s">
        <v>58</v>
      </c>
      <c r="R78" s="530">
        <f>ROUND(R81*(1+0.3),-1)</f>
        <v>110</v>
      </c>
      <c r="S78" s="594" t="s">
        <v>58</v>
      </c>
      <c r="T78" s="93"/>
      <c r="U78" s="286"/>
      <c r="V78" s="286"/>
      <c r="W78" s="286"/>
    </row>
    <row r="79" spans="1:28" s="288" customFormat="1" ht="12.75" hidden="1" customHeight="1" outlineLevel="1">
      <c r="B79" s="1057"/>
      <c r="C79" s="1025"/>
      <c r="D79" s="402" t="s">
        <v>156</v>
      </c>
      <c r="E79" s="403"/>
      <c r="F79" s="453">
        <f>ROUND(F81*(1+0.3),-1)</f>
        <v>110</v>
      </c>
      <c r="G79" s="478">
        <v>132</v>
      </c>
      <c r="H79" s="453">
        <f>ROUND(H81*(1+0.3),-1)</f>
        <v>160</v>
      </c>
      <c r="I79" s="478">
        <v>192</v>
      </c>
      <c r="J79" s="453">
        <f>ROUND(J81*(1+0.3),-1)</f>
        <v>210</v>
      </c>
      <c r="K79" s="478">
        <v>252</v>
      </c>
      <c r="L79" s="453">
        <v>240</v>
      </c>
      <c r="M79" s="478">
        <v>288</v>
      </c>
      <c r="N79" s="453">
        <f>ROUND(N81*(1+0.3),-1)</f>
        <v>270</v>
      </c>
      <c r="O79" s="478">
        <v>324</v>
      </c>
      <c r="P79" s="530">
        <f>ROUND(P81*(1+0.3),-1)</f>
        <v>20</v>
      </c>
      <c r="Q79" s="584" t="s">
        <v>58</v>
      </c>
      <c r="R79" s="530">
        <f>ROUND(R81*(1+0.3),-1)</f>
        <v>110</v>
      </c>
      <c r="S79" s="594" t="s">
        <v>58</v>
      </c>
      <c r="T79" s="93"/>
      <c r="U79" s="286"/>
      <c r="V79" s="286"/>
      <c r="W79" s="286"/>
    </row>
    <row r="80" spans="1:28" s="288" customFormat="1" ht="12.75" hidden="1" customHeight="1" outlineLevel="1">
      <c r="B80" s="1057"/>
      <c r="C80" s="1025"/>
      <c r="D80" s="400" t="s">
        <v>157</v>
      </c>
      <c r="E80" s="401"/>
      <c r="F80" s="455">
        <f>ROUND(F81*(1+0.3),-1)</f>
        <v>110</v>
      </c>
      <c r="G80" s="479">
        <v>132</v>
      </c>
      <c r="H80" s="455">
        <f>ROUND(H81*(1+0.3),-1)</f>
        <v>160</v>
      </c>
      <c r="I80" s="479">
        <v>192</v>
      </c>
      <c r="J80" s="455">
        <f>ROUND(J81*(1+0.3),-1)</f>
        <v>210</v>
      </c>
      <c r="K80" s="479">
        <v>252</v>
      </c>
      <c r="L80" s="455">
        <v>240</v>
      </c>
      <c r="M80" s="479">
        <v>288</v>
      </c>
      <c r="N80" s="455">
        <f>ROUND(N81*(1+0.3),-1)</f>
        <v>270</v>
      </c>
      <c r="O80" s="479">
        <v>324</v>
      </c>
      <c r="P80" s="531">
        <f>ROUND(P81*(1+0.3),-1)</f>
        <v>20</v>
      </c>
      <c r="Q80" s="580" t="s">
        <v>58</v>
      </c>
      <c r="R80" s="531">
        <f>ROUND(R81*(1+0.3),-1)</f>
        <v>110</v>
      </c>
      <c r="S80" s="590" t="s">
        <v>58</v>
      </c>
      <c r="T80" s="93"/>
      <c r="U80" s="286"/>
      <c r="V80" s="286"/>
      <c r="W80" s="286"/>
    </row>
    <row r="81" spans="1:28" s="89" customFormat="1" ht="36" customHeight="1" collapsed="1">
      <c r="A81" s="288"/>
      <c r="B81" s="1057"/>
      <c r="C81" s="1026"/>
      <c r="D81" s="1010" t="str">
        <f>D76&amp;", "&amp;D77&amp;", "&amp;D78&amp;", "&amp;D79&amp;", "&amp;D80</f>
        <v>WP abcZdrowie, WP Fitness, WP Parenting, Medycyna24, Nerwica.com</v>
      </c>
      <c r="E81" s="1011"/>
      <c r="F81" s="443">
        <v>83</v>
      </c>
      <c r="G81" s="474">
        <v>99</v>
      </c>
      <c r="H81" s="443">
        <v>120</v>
      </c>
      <c r="I81" s="474">
        <v>144</v>
      </c>
      <c r="J81" s="443">
        <v>165</v>
      </c>
      <c r="K81" s="474">
        <v>198</v>
      </c>
      <c r="L81" s="460" t="s">
        <v>58</v>
      </c>
      <c r="M81" s="474" t="s">
        <v>58</v>
      </c>
      <c r="N81" s="460">
        <v>210</v>
      </c>
      <c r="O81" s="474">
        <v>252</v>
      </c>
      <c r="P81" s="551">
        <v>17</v>
      </c>
      <c r="Q81" s="588" t="s">
        <v>58</v>
      </c>
      <c r="R81" s="555">
        <v>83</v>
      </c>
      <c r="S81" s="601" t="s">
        <v>58</v>
      </c>
      <c r="T81" s="94"/>
      <c r="U81" s="286"/>
      <c r="V81" s="286"/>
      <c r="W81" s="286"/>
      <c r="X81" s="288"/>
      <c r="Y81" s="288"/>
      <c r="Z81" s="288"/>
      <c r="AA81" s="288"/>
      <c r="AB81" s="288"/>
    </row>
    <row r="82" spans="1:28" s="288" customFormat="1" ht="12.75" hidden="1" customHeight="1" outlineLevel="1">
      <c r="B82" s="1057"/>
      <c r="C82" s="1024" t="str">
        <f>IF('Język - Language'!$B$30="Polski","WIDEO I AUDIO","VIDEO AND AUDIO")</f>
        <v>WIDEO I AUDIO</v>
      </c>
      <c r="D82" s="406" t="s">
        <v>139</v>
      </c>
      <c r="E82" s="407"/>
      <c r="F82" s="449">
        <f>ROUND(F85*(1+0.3),-1)</f>
        <v>60</v>
      </c>
      <c r="G82" s="475">
        <v>72</v>
      </c>
      <c r="H82" s="449">
        <f>ROUND(H85*(1+0.3),-1)</f>
        <v>90</v>
      </c>
      <c r="I82" s="475">
        <v>108</v>
      </c>
      <c r="J82" s="449">
        <f>ROUND(J85*(1+0.3),-1)</f>
        <v>120</v>
      </c>
      <c r="K82" s="475">
        <v>144</v>
      </c>
      <c r="L82" s="449">
        <v>140</v>
      </c>
      <c r="M82" s="475">
        <v>168</v>
      </c>
      <c r="N82" s="449" t="s">
        <v>58</v>
      </c>
      <c r="O82" s="450" t="s">
        <v>58</v>
      </c>
      <c r="P82" s="562"/>
      <c r="Q82" s="586" t="s">
        <v>58</v>
      </c>
      <c r="R82" s="573"/>
      <c r="S82" s="602" t="s">
        <v>58</v>
      </c>
      <c r="T82" s="94"/>
      <c r="U82" s="286"/>
      <c r="V82" s="286"/>
      <c r="W82" s="286"/>
    </row>
    <row r="83" spans="1:28" s="288" customFormat="1" ht="12.75" hidden="1" customHeight="1" outlineLevel="1">
      <c r="B83" s="1057"/>
      <c r="C83" s="1025"/>
      <c r="D83" s="408" t="s">
        <v>147</v>
      </c>
      <c r="E83" s="409"/>
      <c r="F83" s="462">
        <f>ROUND(F85*(1+0.3),-1)</f>
        <v>60</v>
      </c>
      <c r="G83" s="480">
        <v>72</v>
      </c>
      <c r="H83" s="462">
        <f>ROUND(H85*(1+0.3),-1)</f>
        <v>90</v>
      </c>
      <c r="I83" s="480">
        <v>108</v>
      </c>
      <c r="J83" s="462">
        <f>ROUND(J85*(1+0.3),-1)</f>
        <v>120</v>
      </c>
      <c r="K83" s="480">
        <v>144</v>
      </c>
      <c r="L83" s="462">
        <v>140</v>
      </c>
      <c r="M83" s="480">
        <v>168</v>
      </c>
      <c r="N83" s="462" t="s">
        <v>58</v>
      </c>
      <c r="O83" s="463" t="s">
        <v>58</v>
      </c>
      <c r="P83" s="563"/>
      <c r="Q83" s="587" t="s">
        <v>58</v>
      </c>
      <c r="R83" s="571"/>
      <c r="S83" s="603" t="s">
        <v>58</v>
      </c>
      <c r="T83" s="94"/>
      <c r="U83" s="286"/>
      <c r="V83" s="286"/>
      <c r="W83" s="286"/>
    </row>
    <row r="84" spans="1:28" s="288" customFormat="1" ht="12.75" hidden="1" customHeight="1" outlineLevel="1">
      <c r="B84" s="1057"/>
      <c r="C84" s="1025"/>
      <c r="D84" s="404" t="s">
        <v>150</v>
      </c>
      <c r="E84" s="405"/>
      <c r="F84" s="464">
        <f>ROUND(F85*(1+0.3),-1)</f>
        <v>60</v>
      </c>
      <c r="G84" s="476">
        <v>72</v>
      </c>
      <c r="H84" s="464">
        <f>ROUND(H85*(1+0.3),-1)</f>
        <v>90</v>
      </c>
      <c r="I84" s="476">
        <v>108</v>
      </c>
      <c r="J84" s="464">
        <f>ROUND(J85*(1+0.3),-1)</f>
        <v>120</v>
      </c>
      <c r="K84" s="476">
        <v>144</v>
      </c>
      <c r="L84" s="464">
        <v>140</v>
      </c>
      <c r="M84" s="476">
        <v>168</v>
      </c>
      <c r="N84" s="464" t="s">
        <v>58</v>
      </c>
      <c r="O84" s="465" t="s">
        <v>58</v>
      </c>
      <c r="P84" s="564"/>
      <c r="Q84" s="579" t="s">
        <v>58</v>
      </c>
      <c r="R84" s="565"/>
      <c r="S84" s="604" t="s">
        <v>58</v>
      </c>
      <c r="T84" s="94"/>
      <c r="U84" s="286"/>
      <c r="V84" s="286"/>
      <c r="W84" s="286"/>
    </row>
    <row r="85" spans="1:28" s="244" customFormat="1" ht="36" customHeight="1" collapsed="1">
      <c r="A85" s="288"/>
      <c r="B85" s="1057"/>
      <c r="C85" s="1026"/>
      <c r="D85" s="1010" t="str">
        <f>D82&amp;", "&amp;D83&amp;", "&amp;D84</f>
        <v>WP Pilot, WP Wideo, OpenFM</v>
      </c>
      <c r="E85" s="1011"/>
      <c r="F85" s="443">
        <v>45</v>
      </c>
      <c r="G85" s="471">
        <v>54</v>
      </c>
      <c r="H85" s="443">
        <v>68</v>
      </c>
      <c r="I85" s="471">
        <v>81</v>
      </c>
      <c r="J85" s="443">
        <v>90</v>
      </c>
      <c r="K85" s="471">
        <v>108</v>
      </c>
      <c r="L85" s="460" t="s">
        <v>58</v>
      </c>
      <c r="M85" s="471" t="s">
        <v>58</v>
      </c>
      <c r="N85" s="460" t="s">
        <v>58</v>
      </c>
      <c r="O85" s="461" t="s">
        <v>58</v>
      </c>
      <c r="P85" s="551">
        <v>15</v>
      </c>
      <c r="Q85" s="579" t="s">
        <v>58</v>
      </c>
      <c r="R85" s="555">
        <v>45</v>
      </c>
      <c r="S85" s="604" t="s">
        <v>58</v>
      </c>
      <c r="T85" s="94"/>
      <c r="U85" s="286"/>
      <c r="V85" s="286"/>
      <c r="W85" s="286"/>
      <c r="X85" s="288"/>
      <c r="Y85" s="288"/>
      <c r="Z85" s="288"/>
      <c r="AA85" s="288"/>
      <c r="AB85" s="288"/>
    </row>
    <row r="86" spans="1:28" s="288" customFormat="1" ht="12.75" hidden="1" customHeight="1" outlineLevel="1">
      <c r="B86" s="1057"/>
      <c r="C86" s="1022" t="str">
        <f>IF('Język - Language'!$B$30="Polski","PAKIET SPECJALNY 'KOBIETA'","DEDICATED PACKAGE 'WOMAN'")</f>
        <v>PAKIET SPECJALNY 'KOBIETA'</v>
      </c>
      <c r="D86" s="406" t="s">
        <v>151</v>
      </c>
      <c r="E86" s="407"/>
      <c r="F86" s="449">
        <f>ROUND(F97*(1+0.3),-1)</f>
        <v>60</v>
      </c>
      <c r="G86" s="475">
        <v>72</v>
      </c>
      <c r="H86" s="449">
        <f>ROUND(H97*(1+0.3),-1)</f>
        <v>90</v>
      </c>
      <c r="I86" s="475">
        <v>108</v>
      </c>
      <c r="J86" s="449">
        <f>ROUND(J97*(1+0.3),-1)</f>
        <v>120</v>
      </c>
      <c r="K86" s="475">
        <v>144</v>
      </c>
      <c r="L86" s="518">
        <v>140</v>
      </c>
      <c r="M86" s="521">
        <v>168</v>
      </c>
      <c r="N86" s="449">
        <f>ROUND(N97*(1+0.3),-1)</f>
        <v>160</v>
      </c>
      <c r="O86" s="475">
        <v>192</v>
      </c>
      <c r="P86" s="518">
        <f>ROUND(P97*(1+0.3),-1)</f>
        <v>20</v>
      </c>
      <c r="Q86" s="583" t="s">
        <v>58</v>
      </c>
      <c r="R86" s="518">
        <f>ROUND(R97*(1+0.3),-1)</f>
        <v>60</v>
      </c>
      <c r="S86" s="605" t="s">
        <v>58</v>
      </c>
      <c r="T86" s="94"/>
      <c r="U86" s="286"/>
      <c r="V86" s="286"/>
      <c r="W86" s="286"/>
    </row>
    <row r="87" spans="1:28" s="288" customFormat="1" ht="12.75" hidden="1" customHeight="1" outlineLevel="1">
      <c r="B87" s="1057"/>
      <c r="C87" s="998"/>
      <c r="D87" s="408" t="s">
        <v>44</v>
      </c>
      <c r="E87" s="409"/>
      <c r="F87" s="462">
        <f>ROUND(F97*(1+0.3),-1)</f>
        <v>60</v>
      </c>
      <c r="G87" s="480">
        <v>72</v>
      </c>
      <c r="H87" s="462">
        <f>ROUND(H97*(1+0.3),-1)</f>
        <v>90</v>
      </c>
      <c r="I87" s="480">
        <v>108</v>
      </c>
      <c r="J87" s="462">
        <f>ROUND(J97*(1+0.3),-1)</f>
        <v>120</v>
      </c>
      <c r="K87" s="480">
        <v>144</v>
      </c>
      <c r="L87" s="519">
        <v>140</v>
      </c>
      <c r="M87" s="523">
        <v>168</v>
      </c>
      <c r="N87" s="462">
        <f>ROUND(N97*(1+0.3),-1)</f>
        <v>160</v>
      </c>
      <c r="O87" s="480">
        <v>192</v>
      </c>
      <c r="P87" s="519">
        <f>ROUND(P97*(1+0.3),-1)</f>
        <v>20</v>
      </c>
      <c r="Q87" s="584" t="s">
        <v>58</v>
      </c>
      <c r="R87" s="519">
        <f>ROUND(R97*(1+0.3),-1)</f>
        <v>60</v>
      </c>
      <c r="S87" s="606" t="s">
        <v>58</v>
      </c>
      <c r="T87" s="94"/>
      <c r="U87" s="286"/>
      <c r="V87" s="286"/>
      <c r="W87" s="286"/>
    </row>
    <row r="88" spans="1:28" s="288" customFormat="1" ht="12.75" hidden="1" customHeight="1" outlineLevel="1">
      <c r="B88" s="1057"/>
      <c r="C88" s="998"/>
      <c r="D88" s="408" t="s">
        <v>55</v>
      </c>
      <c r="E88" s="409"/>
      <c r="F88" s="462">
        <f>ROUND(F57*(1+1),-1)</f>
        <v>60</v>
      </c>
      <c r="G88" s="480">
        <v>72</v>
      </c>
      <c r="H88" s="462">
        <f>ROUND(H57*(1+1),-1)</f>
        <v>90</v>
      </c>
      <c r="I88" s="480">
        <v>108</v>
      </c>
      <c r="J88" s="462">
        <f>ROUND(J57*(1+1),-1)</f>
        <v>120</v>
      </c>
      <c r="K88" s="480">
        <v>144</v>
      </c>
      <c r="L88" s="517">
        <v>140</v>
      </c>
      <c r="M88" s="523">
        <v>168</v>
      </c>
      <c r="N88" s="442">
        <f>ROUND(N57*(1+1),-1)</f>
        <v>160</v>
      </c>
      <c r="O88" s="480">
        <v>192</v>
      </c>
      <c r="P88" s="517">
        <f>ROUND(P57*(1+1),-1)</f>
        <v>20</v>
      </c>
      <c r="Q88" s="584" t="s">
        <v>58</v>
      </c>
      <c r="R88" s="517">
        <f>ROUND(R57*(1+1),-1)</f>
        <v>60</v>
      </c>
      <c r="S88" s="606" t="s">
        <v>58</v>
      </c>
      <c r="T88" s="94"/>
      <c r="U88" s="286"/>
      <c r="V88" s="286"/>
      <c r="W88" s="286"/>
    </row>
    <row r="89" spans="1:28" s="288" customFormat="1" ht="12.75" hidden="1" customHeight="1" outlineLevel="1">
      <c r="B89" s="1057"/>
      <c r="C89" s="998"/>
      <c r="D89" s="408" t="s">
        <v>237</v>
      </c>
      <c r="E89" s="409"/>
      <c r="F89" s="519">
        <f>ROUND(F68*(1+0.3),-1)</f>
        <v>60</v>
      </c>
      <c r="G89" s="523">
        <v>72</v>
      </c>
      <c r="H89" s="519">
        <f>ROUND(H68*(1+0.3),-1)</f>
        <v>90</v>
      </c>
      <c r="I89" s="523">
        <v>108</v>
      </c>
      <c r="J89" s="519">
        <f>ROUND(J68*(1+0.3),-1)</f>
        <v>120</v>
      </c>
      <c r="K89" s="523">
        <v>144</v>
      </c>
      <c r="L89" s="517">
        <v>140</v>
      </c>
      <c r="M89" s="523">
        <v>168</v>
      </c>
      <c r="N89" s="517">
        <f>ROUND(N68*(1+0.3),-1)</f>
        <v>160</v>
      </c>
      <c r="O89" s="523">
        <v>192</v>
      </c>
      <c r="P89" s="517">
        <f>ROUND(P68*(1+0.3),-1)</f>
        <v>20</v>
      </c>
      <c r="Q89" s="584" t="s">
        <v>58</v>
      </c>
      <c r="R89" s="517">
        <f>ROUND(R68*(1+0.3),-1)</f>
        <v>60</v>
      </c>
      <c r="S89" s="606" t="s">
        <v>58</v>
      </c>
      <c r="T89" s="94"/>
      <c r="U89" s="286"/>
      <c r="V89" s="286"/>
      <c r="W89" s="286"/>
    </row>
    <row r="90" spans="1:28" s="288" customFormat="1" ht="12.75" hidden="1" customHeight="1" outlineLevel="1">
      <c r="B90" s="1057"/>
      <c r="C90" s="998"/>
      <c r="D90" s="408" t="s">
        <v>65</v>
      </c>
      <c r="E90" s="409"/>
      <c r="F90" s="462">
        <f>ROUND(F57*(1+0.3),-1)</f>
        <v>40</v>
      </c>
      <c r="G90" s="480">
        <v>48</v>
      </c>
      <c r="H90" s="462">
        <f>ROUND(H57*(1+0.3),-1)</f>
        <v>60</v>
      </c>
      <c r="I90" s="480">
        <v>72</v>
      </c>
      <c r="J90" s="462">
        <f>ROUND(J57*(1+0.3),-1)</f>
        <v>80</v>
      </c>
      <c r="K90" s="480">
        <v>96</v>
      </c>
      <c r="L90" s="519">
        <v>90</v>
      </c>
      <c r="M90" s="523">
        <v>108</v>
      </c>
      <c r="N90" s="462">
        <f>ROUND(N57*(1+0.3),-1)</f>
        <v>100</v>
      </c>
      <c r="O90" s="480">
        <v>120</v>
      </c>
      <c r="P90" s="519">
        <f>ROUND(P57*(1+0.3),-1)</f>
        <v>20</v>
      </c>
      <c r="Q90" s="584" t="s">
        <v>58</v>
      </c>
      <c r="R90" s="519">
        <f>ROUND(R57*(1+0.3),-1)</f>
        <v>40</v>
      </c>
      <c r="S90" s="606" t="s">
        <v>58</v>
      </c>
      <c r="T90" s="94"/>
      <c r="U90" s="286"/>
      <c r="V90" s="286"/>
      <c r="W90" s="286"/>
    </row>
    <row r="91" spans="1:28" s="288" customFormat="1" ht="12.75" hidden="1" customHeight="1" outlineLevel="1">
      <c r="B91" s="1057"/>
      <c r="C91" s="998"/>
      <c r="D91" s="408" t="s">
        <v>46</v>
      </c>
      <c r="E91" s="409"/>
      <c r="F91" s="462">
        <f>ROUND(F68*(1+0.3),-1)</f>
        <v>60</v>
      </c>
      <c r="G91" s="480">
        <v>72</v>
      </c>
      <c r="H91" s="462">
        <f>ROUND(H68*(1+0.3),-1)</f>
        <v>90</v>
      </c>
      <c r="I91" s="480">
        <v>108</v>
      </c>
      <c r="J91" s="462">
        <f>ROUND(J68*(1+0.3),-1)</f>
        <v>120</v>
      </c>
      <c r="K91" s="480">
        <v>144</v>
      </c>
      <c r="L91" s="519">
        <v>140</v>
      </c>
      <c r="M91" s="523">
        <v>168</v>
      </c>
      <c r="N91" s="462">
        <f>ROUND(N68*(1+0.3),-1)</f>
        <v>160</v>
      </c>
      <c r="O91" s="480">
        <v>192</v>
      </c>
      <c r="P91" s="519">
        <f>ROUND(P68*(1+0.3),-1)</f>
        <v>20</v>
      </c>
      <c r="Q91" s="584" t="s">
        <v>58</v>
      </c>
      <c r="R91" s="519">
        <f>ROUND(R68*(1+0.3),-1)</f>
        <v>60</v>
      </c>
      <c r="S91" s="606" t="s">
        <v>58</v>
      </c>
      <c r="T91" s="94"/>
      <c r="U91" s="286"/>
      <c r="V91" s="286"/>
      <c r="W91" s="286"/>
    </row>
    <row r="92" spans="1:28" s="288" customFormat="1" ht="12.75" hidden="1" customHeight="1" outlineLevel="1">
      <c r="B92" s="1057"/>
      <c r="C92" s="998"/>
      <c r="D92" s="408" t="s">
        <v>153</v>
      </c>
      <c r="E92" s="409"/>
      <c r="F92" s="462">
        <f>ROUND(F81*(1+0.3),-1)</f>
        <v>110</v>
      </c>
      <c r="G92" s="480">
        <v>132</v>
      </c>
      <c r="H92" s="462">
        <f>ROUND(H81*(1+0.3),-1)</f>
        <v>160</v>
      </c>
      <c r="I92" s="480">
        <v>192</v>
      </c>
      <c r="J92" s="462">
        <f>ROUND(J81*(1+0.3),-1)</f>
        <v>210</v>
      </c>
      <c r="K92" s="480">
        <v>252</v>
      </c>
      <c r="L92" s="519">
        <v>240</v>
      </c>
      <c r="M92" s="523">
        <v>288</v>
      </c>
      <c r="N92" s="462">
        <f>ROUND(N81*(1+0.3),-1)</f>
        <v>270</v>
      </c>
      <c r="O92" s="480">
        <v>324</v>
      </c>
      <c r="P92" s="519">
        <f>ROUND(P81*(1+0.3),-1)</f>
        <v>20</v>
      </c>
      <c r="Q92" s="584" t="s">
        <v>58</v>
      </c>
      <c r="R92" s="519">
        <f>ROUND(R81*(1+0.3),-1)</f>
        <v>110</v>
      </c>
      <c r="S92" s="606" t="s">
        <v>58</v>
      </c>
      <c r="T92" s="94"/>
      <c r="U92" s="286"/>
      <c r="V92" s="286"/>
      <c r="W92" s="286"/>
    </row>
    <row r="93" spans="1:28" s="288" customFormat="1" ht="12.75" hidden="1" customHeight="1" outlineLevel="1">
      <c r="B93" s="1057"/>
      <c r="C93" s="998"/>
      <c r="D93" s="408" t="s">
        <v>37</v>
      </c>
      <c r="E93" s="409"/>
      <c r="F93" s="462">
        <f>ROUND(F81*(1+0.3),-1)</f>
        <v>110</v>
      </c>
      <c r="G93" s="480">
        <v>132</v>
      </c>
      <c r="H93" s="462">
        <f>ROUND(H81*(1+0.3),-1)</f>
        <v>160</v>
      </c>
      <c r="I93" s="480">
        <v>192</v>
      </c>
      <c r="J93" s="462">
        <f>ROUND(J81*(1+0.3),-1)</f>
        <v>210</v>
      </c>
      <c r="K93" s="480">
        <v>252</v>
      </c>
      <c r="L93" s="519">
        <v>240</v>
      </c>
      <c r="M93" s="523">
        <v>288</v>
      </c>
      <c r="N93" s="462">
        <f>ROUND(N81*(1+0.3),-1)</f>
        <v>270</v>
      </c>
      <c r="O93" s="480">
        <v>324</v>
      </c>
      <c r="P93" s="519">
        <f>ROUND(P81*(1+0.3),-1)</f>
        <v>20</v>
      </c>
      <c r="Q93" s="584" t="s">
        <v>58</v>
      </c>
      <c r="R93" s="519">
        <f>ROUND(R81*(1+0.3),-1)</f>
        <v>110</v>
      </c>
      <c r="S93" s="606" t="s">
        <v>58</v>
      </c>
      <c r="T93" s="94"/>
      <c r="U93" s="286"/>
      <c r="V93" s="286"/>
      <c r="W93" s="286"/>
    </row>
    <row r="94" spans="1:28" s="288" customFormat="1" ht="12.75" hidden="1" customHeight="1" outlineLevel="1">
      <c r="B94" s="1057"/>
      <c r="C94" s="998"/>
      <c r="D94" s="408" t="s">
        <v>38</v>
      </c>
      <c r="E94" s="409"/>
      <c r="F94" s="462">
        <f>ROUND(F81*(1+0.3),-1)</f>
        <v>110</v>
      </c>
      <c r="G94" s="480">
        <v>132</v>
      </c>
      <c r="H94" s="462">
        <f>ROUND(H81*(1+0.3),-1)</f>
        <v>160</v>
      </c>
      <c r="I94" s="480">
        <v>192</v>
      </c>
      <c r="J94" s="462">
        <f>ROUND(J81*(1+0.3),-1)</f>
        <v>210</v>
      </c>
      <c r="K94" s="480">
        <v>252</v>
      </c>
      <c r="L94" s="519">
        <v>240</v>
      </c>
      <c r="M94" s="523">
        <v>288</v>
      </c>
      <c r="N94" s="462">
        <f>ROUND(N81*(1+0.3),-1)</f>
        <v>270</v>
      </c>
      <c r="O94" s="480">
        <v>324</v>
      </c>
      <c r="P94" s="519">
        <f>ROUND(P81*(1+0.3),-1)</f>
        <v>20</v>
      </c>
      <c r="Q94" s="584" t="s">
        <v>58</v>
      </c>
      <c r="R94" s="519">
        <f>ROUND(R81*(1+0.3),-1)</f>
        <v>110</v>
      </c>
      <c r="S94" s="606" t="s">
        <v>58</v>
      </c>
      <c r="T94" s="94"/>
      <c r="U94" s="286"/>
      <c r="V94" s="286"/>
      <c r="W94" s="286"/>
    </row>
    <row r="95" spans="1:28" s="288" customFormat="1" ht="12.75" hidden="1" customHeight="1" outlineLevel="1">
      <c r="B95" s="1057"/>
      <c r="C95" s="998"/>
      <c r="D95" s="408" t="s">
        <v>146</v>
      </c>
      <c r="E95" s="409"/>
      <c r="F95" s="462">
        <f>ROUND(F57*(1+0.3),-1)</f>
        <v>40</v>
      </c>
      <c r="G95" s="480">
        <v>48</v>
      </c>
      <c r="H95" s="462">
        <f>ROUND(H57*(1+0.3),-1)</f>
        <v>60</v>
      </c>
      <c r="I95" s="480">
        <v>72</v>
      </c>
      <c r="J95" s="462">
        <f>ROUND(J57*(1+0.3),-1)</f>
        <v>80</v>
      </c>
      <c r="K95" s="480">
        <v>96</v>
      </c>
      <c r="L95" s="519">
        <v>90</v>
      </c>
      <c r="M95" s="523">
        <v>108</v>
      </c>
      <c r="N95" s="462">
        <f>ROUND(N57*(1+0.3),-1)</f>
        <v>100</v>
      </c>
      <c r="O95" s="480">
        <v>120</v>
      </c>
      <c r="P95" s="519">
        <f>ROUND(P57*(1+0.3),-1)</f>
        <v>20</v>
      </c>
      <c r="Q95" s="584" t="s">
        <v>58</v>
      </c>
      <c r="R95" s="519">
        <f>ROUND(R57*(1+0.3),-1)</f>
        <v>40</v>
      </c>
      <c r="S95" s="606" t="s">
        <v>58</v>
      </c>
      <c r="T95" s="94"/>
      <c r="U95" s="286"/>
      <c r="V95" s="286"/>
      <c r="W95" s="286"/>
    </row>
    <row r="96" spans="1:28" s="288" customFormat="1" ht="12.75" hidden="1" customHeight="1" outlineLevel="1">
      <c r="B96" s="1057"/>
      <c r="C96" s="998"/>
      <c r="D96" s="404" t="s">
        <v>45</v>
      </c>
      <c r="E96" s="405"/>
      <c r="F96" s="464">
        <f>ROUND(F57*(1+0.3),-1)</f>
        <v>40</v>
      </c>
      <c r="G96" s="476">
        <v>48</v>
      </c>
      <c r="H96" s="464">
        <f>ROUND(H57*(1+0.3),-1)</f>
        <v>60</v>
      </c>
      <c r="I96" s="476">
        <v>72</v>
      </c>
      <c r="J96" s="464">
        <f>ROUND(J57*(1+0.3),-1)</f>
        <v>80</v>
      </c>
      <c r="K96" s="476">
        <v>96</v>
      </c>
      <c r="L96" s="520">
        <v>90</v>
      </c>
      <c r="M96" s="522">
        <v>108</v>
      </c>
      <c r="N96" s="464">
        <f>ROUND(N57*(1+0.3),-1)</f>
        <v>100</v>
      </c>
      <c r="O96" s="476">
        <v>120</v>
      </c>
      <c r="P96" s="520">
        <f>ROUND(P57*(1+0.3),-1)</f>
        <v>20</v>
      </c>
      <c r="Q96" s="585" t="s">
        <v>58</v>
      </c>
      <c r="R96" s="520">
        <f>ROUND(R57*(1+0.3),-1)</f>
        <v>40</v>
      </c>
      <c r="S96" s="607" t="s">
        <v>58</v>
      </c>
      <c r="T96" s="94"/>
      <c r="U96" s="286"/>
      <c r="V96" s="286"/>
      <c r="W96" s="286"/>
    </row>
    <row r="97" spans="1:28" s="288" customFormat="1" ht="42" customHeight="1" collapsed="1">
      <c r="B97" s="1057"/>
      <c r="C97" s="1023"/>
      <c r="D97" s="817" t="str">
        <f>D86&amp;", "&amp;D87&amp;", "&amp;D88&amp;", "&amp;D89&amp;", "&amp;D90&amp;", "&amp;D91&amp;", "&amp;D92&amp;", "&amp;D93&amp;", "&amp;D94&amp;", "&amp;D95&amp;", "&amp;D96</f>
        <v>Kafeteria.pl, WP Kobieta, Pudelek, WP Dom, WP Gwiazdy, WP Kuchnia, WP Fitness, WP abcZdrowie, WP Parenting, WP Teleshow, WP Książki</v>
      </c>
      <c r="E97" s="818"/>
      <c r="F97" s="458">
        <v>45</v>
      </c>
      <c r="G97" s="473">
        <v>54</v>
      </c>
      <c r="H97" s="458">
        <v>68</v>
      </c>
      <c r="I97" s="473">
        <v>81</v>
      </c>
      <c r="J97" s="458">
        <v>90</v>
      </c>
      <c r="K97" s="473">
        <v>108</v>
      </c>
      <c r="L97" s="452" t="s">
        <v>58</v>
      </c>
      <c r="M97" s="472" t="s">
        <v>58</v>
      </c>
      <c r="N97" s="452">
        <v>120</v>
      </c>
      <c r="O97" s="472">
        <v>144</v>
      </c>
      <c r="P97" s="554">
        <v>15</v>
      </c>
      <c r="Q97" s="588" t="s">
        <v>58</v>
      </c>
      <c r="R97" s="555">
        <v>45</v>
      </c>
      <c r="S97" s="601" t="s">
        <v>58</v>
      </c>
      <c r="T97" s="94"/>
      <c r="U97" s="286"/>
      <c r="V97" s="286"/>
      <c r="W97" s="286"/>
    </row>
    <row r="98" spans="1:28" s="288" customFormat="1" ht="12.75" hidden="1" customHeight="1" outlineLevel="1">
      <c r="B98" s="1057"/>
      <c r="C98" s="1022" t="str">
        <f>IF('Język - Language'!$B$30="Polski","PAKIET SPECJALNY 'MĘŻCZYZNA'","DEDICATED PACKAGE 'MAN'")</f>
        <v>PAKIET SPECJALNY 'MĘŻCZYZNA'</v>
      </c>
      <c r="D98" s="398" t="s">
        <v>30</v>
      </c>
      <c r="E98" s="399"/>
      <c r="F98" s="451">
        <f>ROUND(F41*(1+0.3),-1)</f>
        <v>70</v>
      </c>
      <c r="G98" s="477">
        <v>84</v>
      </c>
      <c r="H98" s="451">
        <f>ROUND(H41*(1+0.3),-1)</f>
        <v>100</v>
      </c>
      <c r="I98" s="477">
        <v>120</v>
      </c>
      <c r="J98" s="451">
        <f>ROUND(J41*(1+0.3),-1)</f>
        <v>140</v>
      </c>
      <c r="K98" s="477">
        <v>168</v>
      </c>
      <c r="L98" s="529">
        <v>160</v>
      </c>
      <c r="M98" s="532">
        <v>192</v>
      </c>
      <c r="N98" s="451">
        <f>ROUND(N41*(1+0.3),-1)</f>
        <v>190</v>
      </c>
      <c r="O98" s="477">
        <v>228</v>
      </c>
      <c r="P98" s="529">
        <f>ROUND(P41*(1+0.3),-1)</f>
        <v>20</v>
      </c>
      <c r="Q98" s="583" t="s">
        <v>58</v>
      </c>
      <c r="R98" s="529">
        <f>ROUND(R41*(1+0.3),-1)</f>
        <v>70</v>
      </c>
      <c r="S98" s="605" t="s">
        <v>58</v>
      </c>
      <c r="T98" s="94"/>
      <c r="U98" s="286"/>
      <c r="V98" s="286"/>
      <c r="W98" s="286"/>
    </row>
    <row r="99" spans="1:28" s="288" customFormat="1" ht="12.75" hidden="1" customHeight="1" outlineLevel="1">
      <c r="B99" s="1057"/>
      <c r="C99" s="998"/>
      <c r="D99" s="402" t="s">
        <v>47</v>
      </c>
      <c r="E99" s="403"/>
      <c r="F99" s="453">
        <f>ROUND(F68*(1+0.3),-1)</f>
        <v>60</v>
      </c>
      <c r="G99" s="478">
        <v>72</v>
      </c>
      <c r="H99" s="453">
        <f>ROUND(H68*(1+0.3),-1)</f>
        <v>90</v>
      </c>
      <c r="I99" s="478">
        <v>108</v>
      </c>
      <c r="J99" s="453">
        <f>ROUND(J68*(1+0.3),-1)</f>
        <v>120</v>
      </c>
      <c r="K99" s="478">
        <v>144</v>
      </c>
      <c r="L99" s="530">
        <v>140</v>
      </c>
      <c r="M99" s="533">
        <v>168</v>
      </c>
      <c r="N99" s="453">
        <f>ROUND(N68*(1+0.3),-1)</f>
        <v>160</v>
      </c>
      <c r="O99" s="478">
        <v>192</v>
      </c>
      <c r="P99" s="530">
        <f>ROUND(P68*(1+0.3),-1)</f>
        <v>20</v>
      </c>
      <c r="Q99" s="584" t="s">
        <v>58</v>
      </c>
      <c r="R99" s="530">
        <f>ROUND(R68*(1+0.3),-1)</f>
        <v>60</v>
      </c>
      <c r="S99" s="606" t="s">
        <v>58</v>
      </c>
      <c r="T99" s="94"/>
      <c r="U99" s="286"/>
      <c r="V99" s="286"/>
      <c r="W99" s="286"/>
    </row>
    <row r="100" spans="1:28" s="288" customFormat="1" ht="12.75" hidden="1" customHeight="1" outlineLevel="1">
      <c r="B100" s="1057"/>
      <c r="C100" s="998"/>
      <c r="D100" s="402" t="s">
        <v>237</v>
      </c>
      <c r="E100" s="403"/>
      <c r="F100" s="530">
        <f>ROUND(F68*(1+0.3),-1)</f>
        <v>60</v>
      </c>
      <c r="G100" s="533">
        <v>72</v>
      </c>
      <c r="H100" s="530">
        <f>ROUND(H68*(1+0.3),-1)</f>
        <v>90</v>
      </c>
      <c r="I100" s="533">
        <v>108</v>
      </c>
      <c r="J100" s="530">
        <f>ROUND(J68*(1+0.3),-1)</f>
        <v>120</v>
      </c>
      <c r="K100" s="533">
        <v>144</v>
      </c>
      <c r="L100" s="530">
        <v>140</v>
      </c>
      <c r="M100" s="533">
        <v>168</v>
      </c>
      <c r="N100" s="530">
        <f>ROUND(N68*(1+0.3),-1)</f>
        <v>160</v>
      </c>
      <c r="O100" s="533">
        <v>192</v>
      </c>
      <c r="P100" s="530">
        <f>ROUND(P68*(1+0.3),-1)</f>
        <v>20</v>
      </c>
      <c r="Q100" s="584" t="s">
        <v>58</v>
      </c>
      <c r="R100" s="530">
        <f>ROUND(R68*(1+0.3),-1)</f>
        <v>60</v>
      </c>
      <c r="S100" s="606" t="s">
        <v>58</v>
      </c>
      <c r="T100" s="94"/>
      <c r="U100" s="286"/>
      <c r="V100" s="286"/>
      <c r="W100" s="286"/>
    </row>
    <row r="101" spans="1:28" s="288" customFormat="1" ht="12.75" hidden="1" customHeight="1" outlineLevel="1">
      <c r="B101" s="1057"/>
      <c r="C101" s="998"/>
      <c r="D101" s="402" t="s">
        <v>40</v>
      </c>
      <c r="E101" s="403"/>
      <c r="F101" s="453">
        <f>ROUND(F44*(1+0.3),-1)</f>
        <v>60</v>
      </c>
      <c r="G101" s="478">
        <v>72</v>
      </c>
      <c r="H101" s="453">
        <f>ROUND(H44*(1+0.3),-1)</f>
        <v>90</v>
      </c>
      <c r="I101" s="478">
        <v>108</v>
      </c>
      <c r="J101" s="453">
        <f>ROUND(J44*(1+0.3),-1)</f>
        <v>120</v>
      </c>
      <c r="K101" s="478">
        <v>144</v>
      </c>
      <c r="L101" s="530">
        <v>140</v>
      </c>
      <c r="M101" s="533">
        <v>168</v>
      </c>
      <c r="N101" s="453">
        <f>ROUND(N44*(1+0.3),-1)</f>
        <v>160</v>
      </c>
      <c r="O101" s="478">
        <v>192</v>
      </c>
      <c r="P101" s="530">
        <f>ROUND(P44*(1+0.3),-1)</f>
        <v>20</v>
      </c>
      <c r="Q101" s="584" t="s">
        <v>58</v>
      </c>
      <c r="R101" s="530">
        <f>ROUND(R44*(1+0.3),-1)</f>
        <v>60</v>
      </c>
      <c r="S101" s="606" t="s">
        <v>58</v>
      </c>
      <c r="T101" s="94"/>
      <c r="U101" s="286"/>
      <c r="V101" s="286"/>
      <c r="W101" s="286"/>
    </row>
    <row r="102" spans="1:28" s="288" customFormat="1" ht="12.75" hidden="1" customHeight="1" outlineLevel="1">
      <c r="B102" s="1057"/>
      <c r="C102" s="998"/>
      <c r="D102" s="402" t="s">
        <v>152</v>
      </c>
      <c r="E102" s="403"/>
      <c r="F102" s="453">
        <f>ROUND(F75*(1+0.3),-1)</f>
        <v>60</v>
      </c>
      <c r="G102" s="478">
        <v>72</v>
      </c>
      <c r="H102" s="453">
        <f>ROUND(H75*(1+0.3),-1)</f>
        <v>90</v>
      </c>
      <c r="I102" s="478">
        <v>108</v>
      </c>
      <c r="J102" s="453">
        <f>ROUND(J75*(1+0.3),-1)</f>
        <v>120</v>
      </c>
      <c r="K102" s="478">
        <v>144</v>
      </c>
      <c r="L102" s="530">
        <v>140</v>
      </c>
      <c r="M102" s="533">
        <v>168</v>
      </c>
      <c r="N102" s="453">
        <f>ROUND(N75*(1+0.3),-1)</f>
        <v>160</v>
      </c>
      <c r="O102" s="478">
        <v>192</v>
      </c>
      <c r="P102" s="530">
        <f>ROUND(P75*(1+0.3),-1)</f>
        <v>20</v>
      </c>
      <c r="Q102" s="584" t="s">
        <v>58</v>
      </c>
      <c r="R102" s="530">
        <f>ROUND(R75*(1+0.3),-1)</f>
        <v>60</v>
      </c>
      <c r="S102" s="606" t="s">
        <v>58</v>
      </c>
      <c r="T102" s="94"/>
      <c r="U102" s="286"/>
      <c r="V102" s="286"/>
      <c r="W102" s="286"/>
    </row>
    <row r="103" spans="1:28" s="288" customFormat="1" ht="12.75" hidden="1" customHeight="1" outlineLevel="1">
      <c r="B103" s="1057"/>
      <c r="C103" s="998"/>
      <c r="D103" s="402" t="s">
        <v>33</v>
      </c>
      <c r="E103" s="403"/>
      <c r="F103" s="453">
        <f>ROUND(F44*(1+0.3),-1)</f>
        <v>60</v>
      </c>
      <c r="G103" s="478">
        <v>72</v>
      </c>
      <c r="H103" s="453">
        <f>ROUND(H44*(1+0.3),-1)</f>
        <v>90</v>
      </c>
      <c r="I103" s="478">
        <v>108</v>
      </c>
      <c r="J103" s="453">
        <f>ROUND(J44*(1+0.3),-1)</f>
        <v>120</v>
      </c>
      <c r="K103" s="478">
        <v>144</v>
      </c>
      <c r="L103" s="530">
        <v>140</v>
      </c>
      <c r="M103" s="533">
        <v>168</v>
      </c>
      <c r="N103" s="453">
        <f>ROUND(N44*(1+0.3),-1)</f>
        <v>160</v>
      </c>
      <c r="O103" s="478">
        <v>192</v>
      </c>
      <c r="P103" s="530">
        <f>ROUND(P44*(1+0.3),-1)</f>
        <v>20</v>
      </c>
      <c r="Q103" s="584" t="s">
        <v>58</v>
      </c>
      <c r="R103" s="530">
        <f>ROUND(R44*(1+0.3),-1)</f>
        <v>60</v>
      </c>
      <c r="S103" s="606" t="s">
        <v>58</v>
      </c>
      <c r="T103" s="94"/>
      <c r="U103" s="286"/>
      <c r="V103" s="286"/>
      <c r="W103" s="286"/>
    </row>
    <row r="104" spans="1:28" s="288" customFormat="1" ht="12.75" hidden="1" customHeight="1" outlineLevel="1">
      <c r="B104" s="1057"/>
      <c r="C104" s="998"/>
      <c r="D104" s="402" t="s">
        <v>36</v>
      </c>
      <c r="E104" s="403"/>
      <c r="F104" s="453">
        <f>ROUND(F75*(1+0.3),-1)</f>
        <v>60</v>
      </c>
      <c r="G104" s="478">
        <v>72</v>
      </c>
      <c r="H104" s="453">
        <f>ROUND(H75*(1+0.3),-1)</f>
        <v>90</v>
      </c>
      <c r="I104" s="478">
        <v>108</v>
      </c>
      <c r="J104" s="453">
        <f>ROUND(J75*(1+0.3),-1)</f>
        <v>120</v>
      </c>
      <c r="K104" s="478">
        <v>144</v>
      </c>
      <c r="L104" s="530">
        <v>140</v>
      </c>
      <c r="M104" s="533">
        <v>168</v>
      </c>
      <c r="N104" s="453">
        <f>ROUND(N75*(1+0.3),-1)</f>
        <v>160</v>
      </c>
      <c r="O104" s="478">
        <v>192</v>
      </c>
      <c r="P104" s="530">
        <f>ROUND(P75*(1+0.3),-1)</f>
        <v>20</v>
      </c>
      <c r="Q104" s="584" t="s">
        <v>58</v>
      </c>
      <c r="R104" s="530">
        <f>ROUND(R75*(1+0.3),-1)</f>
        <v>60</v>
      </c>
      <c r="S104" s="606" t="s">
        <v>58</v>
      </c>
      <c r="T104" s="94"/>
      <c r="U104" s="286"/>
      <c r="V104" s="286"/>
      <c r="W104" s="286"/>
    </row>
    <row r="105" spans="1:28" s="288" customFormat="1" ht="12.75" hidden="1" customHeight="1" outlineLevel="1">
      <c r="B105" s="1057"/>
      <c r="C105" s="998"/>
      <c r="D105" s="402" t="s">
        <v>34</v>
      </c>
      <c r="E105" s="403"/>
      <c r="F105" s="453">
        <f>ROUND(F75*(1+0.3),-1)</f>
        <v>60</v>
      </c>
      <c r="G105" s="478">
        <v>72</v>
      </c>
      <c r="H105" s="453">
        <f>ROUND(H75*(1+0.3),-1)</f>
        <v>90</v>
      </c>
      <c r="I105" s="478">
        <v>108</v>
      </c>
      <c r="J105" s="453">
        <f>ROUND(J75*(1+0.3),-1)</f>
        <v>120</v>
      </c>
      <c r="K105" s="478">
        <v>144</v>
      </c>
      <c r="L105" s="530">
        <v>140</v>
      </c>
      <c r="M105" s="533">
        <v>168</v>
      </c>
      <c r="N105" s="453">
        <f>ROUND(N75*(1+0.3),-1)</f>
        <v>160</v>
      </c>
      <c r="O105" s="478">
        <v>192</v>
      </c>
      <c r="P105" s="530">
        <f>ROUND(P75*(1+0.3),-1)</f>
        <v>20</v>
      </c>
      <c r="Q105" s="584" t="s">
        <v>58</v>
      </c>
      <c r="R105" s="530">
        <f>ROUND(R75*(1+0.3),-1)</f>
        <v>60</v>
      </c>
      <c r="S105" s="606" t="s">
        <v>58</v>
      </c>
      <c r="T105" s="94"/>
      <c r="U105" s="286"/>
      <c r="V105" s="286"/>
      <c r="W105" s="286"/>
    </row>
    <row r="106" spans="1:28" s="288" customFormat="1" ht="12.75" hidden="1" customHeight="1" outlineLevel="1">
      <c r="B106" s="1057"/>
      <c r="C106" s="998"/>
      <c r="D106" s="402" t="s">
        <v>35</v>
      </c>
      <c r="E106" s="403"/>
      <c r="F106" s="453">
        <f>ROUND(F75*(1+0.3),-1)</f>
        <v>60</v>
      </c>
      <c r="G106" s="478">
        <v>72</v>
      </c>
      <c r="H106" s="453">
        <f>ROUND(H75*(1+0.3),-1)</f>
        <v>90</v>
      </c>
      <c r="I106" s="478">
        <v>108</v>
      </c>
      <c r="J106" s="453">
        <f>ROUND(J75*(1+0.3),-1)</f>
        <v>120</v>
      </c>
      <c r="K106" s="478">
        <v>144</v>
      </c>
      <c r="L106" s="530">
        <v>140</v>
      </c>
      <c r="M106" s="533">
        <v>168</v>
      </c>
      <c r="N106" s="453">
        <f>ROUND(N75*(1+0.3),-1)</f>
        <v>160</v>
      </c>
      <c r="O106" s="478">
        <v>192</v>
      </c>
      <c r="P106" s="530">
        <f>ROUND(P75*(1+0.3),-1)</f>
        <v>20</v>
      </c>
      <c r="Q106" s="584" t="s">
        <v>58</v>
      </c>
      <c r="R106" s="530">
        <f>ROUND(R75*(1+0.3),-1)</f>
        <v>60</v>
      </c>
      <c r="S106" s="606" t="s">
        <v>58</v>
      </c>
      <c r="T106" s="94"/>
      <c r="U106" s="286"/>
      <c r="V106" s="286"/>
      <c r="W106" s="286"/>
    </row>
    <row r="107" spans="1:28" s="288" customFormat="1" ht="12.75" hidden="1" customHeight="1" outlineLevel="1">
      <c r="B107" s="1057"/>
      <c r="C107" s="998"/>
      <c r="D107" s="402" t="s">
        <v>154</v>
      </c>
      <c r="E107" s="403"/>
      <c r="F107" s="453">
        <f>ROUND(F75*(1+0.3),-1)</f>
        <v>60</v>
      </c>
      <c r="G107" s="478">
        <v>72</v>
      </c>
      <c r="H107" s="453">
        <f>ROUND(H75*(1+0.3),-1)</f>
        <v>90</v>
      </c>
      <c r="I107" s="478">
        <v>108</v>
      </c>
      <c r="J107" s="453">
        <f>ROUND(J75*(1+0.3),-1)</f>
        <v>120</v>
      </c>
      <c r="K107" s="478">
        <v>144</v>
      </c>
      <c r="L107" s="530">
        <v>140</v>
      </c>
      <c r="M107" s="533">
        <v>168</v>
      </c>
      <c r="N107" s="453">
        <f>ROUND(N75*(1+0.3),-1)</f>
        <v>160</v>
      </c>
      <c r="O107" s="478">
        <v>192</v>
      </c>
      <c r="P107" s="530">
        <f>ROUND(P75*(1+0.3),-1)</f>
        <v>20</v>
      </c>
      <c r="Q107" s="584" t="s">
        <v>58</v>
      </c>
      <c r="R107" s="530">
        <f>ROUND(R75*(1+0.3),-1)</f>
        <v>60</v>
      </c>
      <c r="S107" s="606" t="s">
        <v>58</v>
      </c>
      <c r="T107" s="94"/>
      <c r="U107" s="286"/>
      <c r="V107" s="286"/>
      <c r="W107" s="286"/>
    </row>
    <row r="108" spans="1:28" s="288" customFormat="1" ht="12.75" hidden="1" customHeight="1" outlineLevel="1">
      <c r="B108" s="1057"/>
      <c r="C108" s="998"/>
      <c r="D108" s="402" t="s">
        <v>139</v>
      </c>
      <c r="E108" s="403"/>
      <c r="F108" s="453">
        <f>ROUND(F85*(1+0.3),-1)</f>
        <v>60</v>
      </c>
      <c r="G108" s="478">
        <v>72</v>
      </c>
      <c r="H108" s="453">
        <f>ROUND(H85*(1+0.3),-1)</f>
        <v>90</v>
      </c>
      <c r="I108" s="478">
        <v>108</v>
      </c>
      <c r="J108" s="453">
        <f>ROUND(J85*(1+0.3),-1)</f>
        <v>120</v>
      </c>
      <c r="K108" s="478">
        <v>144</v>
      </c>
      <c r="L108" s="530">
        <v>140</v>
      </c>
      <c r="M108" s="533">
        <v>168</v>
      </c>
      <c r="N108" s="453" t="s">
        <v>58</v>
      </c>
      <c r="O108" s="454" t="s">
        <v>58</v>
      </c>
      <c r="P108" s="530">
        <f>ROUND(P85*(1+0.3),-1)</f>
        <v>20</v>
      </c>
      <c r="Q108" s="584" t="s">
        <v>58</v>
      </c>
      <c r="R108" s="530">
        <f>ROUND(R85*(1+0.3),-1)</f>
        <v>60</v>
      </c>
      <c r="S108" s="606" t="s">
        <v>58</v>
      </c>
      <c r="T108" s="94"/>
      <c r="U108" s="286"/>
      <c r="V108" s="286"/>
      <c r="W108" s="286"/>
    </row>
    <row r="109" spans="1:28" s="288" customFormat="1" ht="12.75" hidden="1" customHeight="1" outlineLevel="1">
      <c r="B109" s="1057"/>
      <c r="C109" s="998"/>
      <c r="D109" s="402" t="s">
        <v>42</v>
      </c>
      <c r="E109" s="403"/>
      <c r="F109" s="453">
        <f>ROUND(F57*(1+0.3),-1)</f>
        <v>40</v>
      </c>
      <c r="G109" s="478">
        <v>48</v>
      </c>
      <c r="H109" s="453">
        <f>ROUND(H57*(1+0.3),-1)</f>
        <v>60</v>
      </c>
      <c r="I109" s="478">
        <v>72</v>
      </c>
      <c r="J109" s="453">
        <f>ROUND(J57*(1+0.3),-1)</f>
        <v>80</v>
      </c>
      <c r="K109" s="478">
        <v>96</v>
      </c>
      <c r="L109" s="530">
        <v>90</v>
      </c>
      <c r="M109" s="533">
        <v>108</v>
      </c>
      <c r="N109" s="453">
        <f>ROUND(N57*(1+0.3),-1)</f>
        <v>100</v>
      </c>
      <c r="O109" s="478">
        <v>120</v>
      </c>
      <c r="P109" s="530">
        <f>ROUND(P57*(1+0.3),-1)</f>
        <v>20</v>
      </c>
      <c r="Q109" s="584" t="s">
        <v>58</v>
      </c>
      <c r="R109" s="530">
        <f>ROUND(R57*(1+0.3),-1)</f>
        <v>40</v>
      </c>
      <c r="S109" s="606" t="s">
        <v>58</v>
      </c>
      <c r="T109" s="94"/>
      <c r="U109" s="286"/>
      <c r="V109" s="286"/>
      <c r="W109" s="286"/>
    </row>
    <row r="110" spans="1:28" s="288" customFormat="1" ht="12.75" hidden="1" customHeight="1" outlineLevel="1">
      <c r="B110" s="1057"/>
      <c r="C110" s="998"/>
      <c r="D110" s="400" t="s">
        <v>155</v>
      </c>
      <c r="E110" s="401"/>
      <c r="F110" s="455">
        <f>ROUND(F75*(1+0.3),-1)</f>
        <v>60</v>
      </c>
      <c r="G110" s="479">
        <v>72</v>
      </c>
      <c r="H110" s="455">
        <f>ROUND(H75*(1+0.3),-1)</f>
        <v>90</v>
      </c>
      <c r="I110" s="479">
        <v>108</v>
      </c>
      <c r="J110" s="455">
        <f>ROUND(J75*(1+0.3),-1)</f>
        <v>120</v>
      </c>
      <c r="K110" s="479">
        <v>144</v>
      </c>
      <c r="L110" s="531">
        <v>140</v>
      </c>
      <c r="M110" s="534">
        <v>168</v>
      </c>
      <c r="N110" s="455">
        <f>ROUND(N75*(1+0.3),-1)</f>
        <v>160</v>
      </c>
      <c r="O110" s="479">
        <v>192</v>
      </c>
      <c r="P110" s="531">
        <f>ROUND(P75*(1+0.3),-1)</f>
        <v>20</v>
      </c>
      <c r="Q110" s="580" t="s">
        <v>58</v>
      </c>
      <c r="R110" s="531">
        <f>ROUND(R75*(1+0.3),-1)</f>
        <v>60</v>
      </c>
      <c r="S110" s="608" t="s">
        <v>58</v>
      </c>
      <c r="T110" s="94"/>
      <c r="U110" s="286"/>
      <c r="V110" s="286"/>
      <c r="W110" s="286"/>
    </row>
    <row r="111" spans="1:28" s="288" customFormat="1" ht="52.5" customHeight="1" collapsed="1">
      <c r="B111" s="1057"/>
      <c r="C111" s="1023"/>
      <c r="D111" s="817" t="str">
        <f>D98&amp;", "&amp;D99&amp;", "&amp;D100&amp;", "&amp;D101&amp;", "&amp;D102&amp;", "&amp;D103&amp;", "&amp;D104&amp;", "&amp;D105&amp;", "&amp;D106&amp;", "&amp;D107&amp;", "&amp;D108&amp;", "&amp;D109&amp;", "&amp;D110</f>
        <v>WP SportoweFakty, WP Facet, WP Dom, WP Moto, WP Tech, WP Autokult, WP Fotoblogia, WP Gadżetomania, WP Komórkomania, WP Gry, WP Pilot, WP Film, dobreprogramy.pl⁵</v>
      </c>
      <c r="E111" s="818"/>
      <c r="F111" s="458">
        <v>45</v>
      </c>
      <c r="G111" s="473">
        <v>54</v>
      </c>
      <c r="H111" s="458">
        <v>68</v>
      </c>
      <c r="I111" s="473">
        <v>81</v>
      </c>
      <c r="J111" s="458">
        <v>90</v>
      </c>
      <c r="K111" s="473">
        <v>108</v>
      </c>
      <c r="L111" s="452" t="s">
        <v>58</v>
      </c>
      <c r="M111" s="473" t="s">
        <v>58</v>
      </c>
      <c r="N111" s="452">
        <v>120</v>
      </c>
      <c r="O111" s="473">
        <v>144</v>
      </c>
      <c r="P111" s="551">
        <v>15</v>
      </c>
      <c r="Q111" s="588" t="s">
        <v>58</v>
      </c>
      <c r="R111" s="551">
        <v>45</v>
      </c>
      <c r="S111" s="601" t="s">
        <v>58</v>
      </c>
      <c r="T111" s="94"/>
      <c r="U111" s="286"/>
      <c r="V111" s="286"/>
      <c r="W111" s="286"/>
    </row>
    <row r="112" spans="1:28" ht="36" customHeight="1">
      <c r="A112" s="288"/>
      <c r="B112" s="1057"/>
      <c r="C112" s="431" t="str">
        <f>IF('Język - Language'!$B$30="Polski","PAKIET SPECJALNY","DEDICATED PACKAGE")</f>
        <v>PAKIET SPECJALNY</v>
      </c>
      <c r="D112" s="817" t="str">
        <f>IF('Język - Language'!$B$30="Polski","Min. 4 wybrane serwisy - BEZ SERWISÓW KATEGORII BIZNES oraz ZDROWIE I PRENTING","Min. 4 selected sites - EXCLUDING BUSINESS, HEALTH AND PARENTING SITES")</f>
        <v>Min. 4 wybrane serwisy - BEZ SERWISÓW KATEGORII BIZNES oraz ZDROWIE I PRENTING</v>
      </c>
      <c r="E112" s="818"/>
      <c r="F112" s="459">
        <v>67</v>
      </c>
      <c r="G112" s="471">
        <v>80</v>
      </c>
      <c r="H112" s="459">
        <v>86</v>
      </c>
      <c r="I112" s="471">
        <v>103</v>
      </c>
      <c r="J112" s="459">
        <v>114</v>
      </c>
      <c r="K112" s="471">
        <v>137</v>
      </c>
      <c r="L112" s="459">
        <v>135</v>
      </c>
      <c r="M112" s="471">
        <v>162</v>
      </c>
      <c r="N112" s="459">
        <v>150</v>
      </c>
      <c r="O112" s="471">
        <v>180</v>
      </c>
      <c r="P112" s="554">
        <v>15</v>
      </c>
      <c r="Q112" s="579" t="s">
        <v>58</v>
      </c>
      <c r="R112" s="551">
        <v>67</v>
      </c>
      <c r="S112" s="596" t="s">
        <v>58</v>
      </c>
      <c r="T112" s="25"/>
      <c r="U112" s="16"/>
      <c r="V112" s="25"/>
      <c r="W112" s="25"/>
      <c r="X112" s="286"/>
      <c r="Y112" s="286"/>
      <c r="Z112" s="286"/>
      <c r="AA112" s="286"/>
      <c r="AB112" s="286"/>
    </row>
    <row r="113" spans="1:28">
      <c r="A113" s="288"/>
      <c r="B113" s="432"/>
      <c r="C113" s="292" t="str">
        <f>IF('Język - Language'!$B$30="Polski","¹ Ceny dotyczą rozliczenia vCPM po statystykach wewnętrznych WPM. W przypadku rozliczenia po statystykach zewnętrznych dopłata +20%. ","¹ The above prices concern the vCPM settlement according to the internal statistics of WPM. In case of settlement based on external statistics, the +20 % extra charge applies.")</f>
        <v xml:space="preserve">¹ Ceny dotyczą rozliczenia vCPM po statystykach wewnętrznych WPM. W przypadku rozliczenia po statystykach zewnętrznych dopłata +20%. </v>
      </c>
      <c r="D113" s="100"/>
      <c r="E113" s="102"/>
      <c r="F113" s="100"/>
      <c r="G113" s="100"/>
      <c r="H113" s="100"/>
      <c r="I113" s="101"/>
      <c r="J113" s="288"/>
      <c r="K113" s="288"/>
      <c r="L113" s="288"/>
      <c r="M113" s="288"/>
      <c r="N113" s="288"/>
      <c r="O113" s="288"/>
      <c r="P113" s="288"/>
      <c r="R113" s="288"/>
      <c r="S113" s="288"/>
      <c r="T113" s="288"/>
      <c r="U113" s="288"/>
      <c r="V113" s="288"/>
      <c r="W113" s="288"/>
      <c r="X113" s="288"/>
      <c r="Y113" s="288"/>
      <c r="Z113" s="288"/>
      <c r="AA113" s="288"/>
      <c r="AB113" s="288"/>
    </row>
    <row r="114" spans="1:28">
      <c r="A114" s="288"/>
      <c r="B114" s="288"/>
      <c r="C114" s="293" t="str">
        <f>IF('Język - Language'!$B$30="Polski","² Na SG O2 możliwość emisji wybranych formatów reklamowych (bez Halfpage).","² in case of o2 only selected advertising formats are applicable (without Halfpage)")</f>
        <v>² Na SG O2 możliwość emisji wybranych formatów reklamowych (bez Halfpage).</v>
      </c>
      <c r="D114" s="64"/>
      <c r="E114" s="47"/>
      <c r="F114" s="288"/>
      <c r="G114" s="288"/>
      <c r="H114" s="305"/>
      <c r="I114" s="288"/>
      <c r="J114" s="288"/>
      <c r="K114" s="288"/>
      <c r="L114" s="288"/>
      <c r="M114" s="288"/>
      <c r="N114" s="288"/>
      <c r="O114" s="288"/>
      <c r="P114" s="288"/>
      <c r="R114" s="288"/>
      <c r="S114" s="288"/>
      <c r="T114" s="288"/>
      <c r="U114" s="288"/>
      <c r="V114" s="288"/>
      <c r="W114" s="288"/>
      <c r="X114" s="288"/>
      <c r="Y114" s="288"/>
      <c r="Z114" s="288"/>
      <c r="AA114" s="288"/>
      <c r="AB114" s="288"/>
    </row>
    <row r="115" spans="1:28" s="244" customFormat="1">
      <c r="A115" s="288"/>
      <c r="B115" s="288"/>
      <c r="C115" s="293" t="str">
        <f>IF('Język - Language'!$B$30="Polski","³ Format dostępny na wybranych serwisach.","³ Available only in selected sites.")</f>
        <v>³ Format dostępny na wybranych serwisach.</v>
      </c>
      <c r="D115" s="64"/>
      <c r="E115" s="47"/>
      <c r="F115" s="288"/>
      <c r="G115" s="288"/>
      <c r="H115" s="288"/>
      <c r="I115" s="288"/>
      <c r="J115" s="288"/>
      <c r="K115" s="288"/>
      <c r="L115" s="288"/>
      <c r="M115" s="288"/>
      <c r="N115" s="288"/>
      <c r="O115" s="288"/>
      <c r="P115" s="288"/>
      <c r="Q115" s="288"/>
      <c r="R115" s="288"/>
      <c r="S115" s="288"/>
      <c r="T115" s="288"/>
      <c r="U115" s="288"/>
      <c r="V115" s="288"/>
      <c r="W115" s="288"/>
      <c r="X115" s="288"/>
      <c r="Y115" s="288"/>
      <c r="Z115" s="288"/>
      <c r="AA115" s="288"/>
      <c r="AB115" s="288"/>
    </row>
    <row r="116" spans="1:28" s="244" customFormat="1">
      <c r="A116" s="288"/>
      <c r="B116" s="288"/>
      <c r="C116" s="283" t="str">
        <f>IF('Język - Language'!$B$30="Polski","⁴ +100% do ceny wybranej kategorii w przypadku serwisu Pudelek","⁴ +100% extra charge to the price of the selected category in case of site Pudelek.pl.")</f>
        <v>⁴ +100% do ceny wybranej kategorii w przypadku serwisu Pudelek</v>
      </c>
      <c r="D116" s="64"/>
      <c r="E116" s="47"/>
      <c r="F116" s="288"/>
      <c r="G116" s="288"/>
      <c r="H116" s="288"/>
      <c r="I116" s="288"/>
      <c r="J116" s="288"/>
      <c r="K116" s="288"/>
      <c r="L116" s="288"/>
      <c r="M116" s="288"/>
      <c r="N116" s="288"/>
      <c r="O116" s="288"/>
      <c r="P116" s="288"/>
      <c r="Q116" s="288"/>
      <c r="R116" s="288"/>
      <c r="S116" s="288"/>
      <c r="T116" s="288"/>
      <c r="U116" s="288"/>
      <c r="V116" s="288"/>
      <c r="W116" s="288"/>
      <c r="X116" s="288"/>
      <c r="Y116" s="288"/>
      <c r="Z116" s="288"/>
      <c r="AA116" s="288"/>
      <c r="AB116" s="288"/>
    </row>
    <row r="117" spans="1:28" s="288" customFormat="1">
      <c r="C117" s="283" t="str">
        <f>IF('Język - Language'!$B$30="Polski","⁵ Screening na dobreprogramy.pl sprzedawany wyłącznie poza pakietem.","⁵ Screening on site dobreprogramy.pl is only available outside the package.")</f>
        <v>⁵ Screening na dobreprogramy.pl sprzedawany wyłącznie poza pakietem.</v>
      </c>
      <c r="D117" s="64"/>
      <c r="E117" s="47"/>
    </row>
    <row r="118" spans="1:28" s="288" customFormat="1">
      <c r="C118" s="283"/>
      <c r="D118" s="64"/>
      <c r="E118" s="47"/>
    </row>
    <row r="119" spans="1:28" s="288" customFormat="1">
      <c r="C119" s="283"/>
      <c r="D119" s="64"/>
      <c r="E119" s="47"/>
    </row>
    <row r="120" spans="1:28" s="288" customFormat="1">
      <c r="C120" s="207" t="str">
        <f>IF('Język - Language'!$B$30="Polski","STANDARDOWE FORMATY REKLAMOWE","STANDARD AD FORMATS")</f>
        <v>STANDARDOWE FORMATY REKLAMOWE</v>
      </c>
      <c r="D120" s="64"/>
      <c r="E120" s="47"/>
    </row>
    <row r="121" spans="1:28" s="288" customFormat="1" ht="25.5" customHeight="1">
      <c r="C121" s="1059" t="str">
        <f>IF('Język - Language'!$B$30="Polski","MIEJSCE EMISJI","PLACE OF EMISSION")</f>
        <v>MIEJSCE EMISJI</v>
      </c>
      <c r="D121" s="375" t="str">
        <f>IF('Język - Language'!$B$30="Polski","MODEL EMISJI","MODEL OF EMISSION")</f>
        <v>MODEL EMISJI</v>
      </c>
      <c r="E121" s="880" t="s">
        <v>99</v>
      </c>
      <c r="F121" s="881"/>
    </row>
    <row r="122" spans="1:28" s="288" customFormat="1" ht="25.5" customHeight="1">
      <c r="C122" s="1059"/>
      <c r="D122" s="1018" t="str">
        <f>IF('Język - Language'!$B$30="Polski","rozliczenie za widzialne odsłony wg standardu IAB¹","settlement for visible ad views according to the IAB standard¹")</f>
        <v>rozliczenie za widzialne odsłony wg standardu IAB¹</v>
      </c>
      <c r="E122" s="1018"/>
      <c r="F122" s="1019"/>
    </row>
    <row r="123" spans="1:28" s="288" customFormat="1" ht="12.75" customHeight="1">
      <c r="C123" s="1059"/>
      <c r="D123" s="371"/>
      <c r="E123" s="1018" t="s">
        <v>101</v>
      </c>
      <c r="F123" s="1019"/>
    </row>
    <row r="124" spans="1:28" s="288" customFormat="1" ht="25.5" customHeight="1">
      <c r="B124" s="187"/>
      <c r="C124" s="372" t="s">
        <v>33</v>
      </c>
      <c r="D124" s="1016" t="s">
        <v>100</v>
      </c>
      <c r="E124" s="1014">
        <v>155</v>
      </c>
      <c r="F124" s="1015"/>
    </row>
    <row r="125" spans="1:28" s="288" customFormat="1" ht="25.5" customHeight="1">
      <c r="B125" s="187"/>
      <c r="C125" s="373" t="s">
        <v>47</v>
      </c>
      <c r="D125" s="1016"/>
      <c r="E125" s="1004">
        <v>155</v>
      </c>
      <c r="F125" s="1005"/>
    </row>
    <row r="126" spans="1:28" s="288" customFormat="1" ht="25.5" customHeight="1">
      <c r="B126" s="187"/>
      <c r="C126" s="373" t="s">
        <v>42</v>
      </c>
      <c r="D126" s="1016"/>
      <c r="E126" s="1004">
        <v>120</v>
      </c>
      <c r="F126" s="1005"/>
    </row>
    <row r="127" spans="1:28" s="288" customFormat="1" ht="25.5" customHeight="1">
      <c r="B127" s="187"/>
      <c r="C127" s="373" t="s">
        <v>65</v>
      </c>
      <c r="D127" s="1016"/>
      <c r="E127" s="1004">
        <v>120</v>
      </c>
      <c r="F127" s="1005"/>
    </row>
    <row r="128" spans="1:28" s="288" customFormat="1" ht="25.5" customHeight="1">
      <c r="B128" s="187"/>
      <c r="C128" s="373" t="s">
        <v>44</v>
      </c>
      <c r="D128" s="1016"/>
      <c r="E128" s="1004">
        <v>155</v>
      </c>
      <c r="F128" s="1005"/>
    </row>
    <row r="129" spans="1:28" s="288" customFormat="1" ht="25.5" customHeight="1">
      <c r="B129" s="187"/>
      <c r="C129" s="373" t="s">
        <v>40</v>
      </c>
      <c r="D129" s="1016"/>
      <c r="E129" s="1004">
        <v>155</v>
      </c>
      <c r="F129" s="1005"/>
    </row>
    <row r="130" spans="1:28" s="288" customFormat="1" ht="25.5" customHeight="1">
      <c r="B130" s="187"/>
      <c r="C130" s="373" t="s">
        <v>97</v>
      </c>
      <c r="D130" s="1016"/>
      <c r="E130" s="1004">
        <v>270</v>
      </c>
      <c r="F130" s="1005"/>
    </row>
    <row r="131" spans="1:28" s="288" customFormat="1" ht="25.5" customHeight="1">
      <c r="B131" s="187"/>
      <c r="C131" s="373" t="s">
        <v>98</v>
      </c>
      <c r="D131" s="1016"/>
      <c r="E131" s="1004">
        <v>195</v>
      </c>
      <c r="F131" s="1005"/>
    </row>
    <row r="132" spans="1:28" s="288" customFormat="1" ht="25.5" customHeight="1">
      <c r="B132" s="187"/>
      <c r="C132" s="373" t="s">
        <v>55</v>
      </c>
      <c r="D132" s="1016"/>
      <c r="E132" s="1004">
        <v>120</v>
      </c>
      <c r="F132" s="1005"/>
    </row>
    <row r="133" spans="1:28" s="288" customFormat="1" ht="25.5" customHeight="1">
      <c r="B133" s="187"/>
      <c r="C133" s="373" t="s">
        <v>24</v>
      </c>
      <c r="D133" s="1016"/>
      <c r="E133" s="1004">
        <v>195</v>
      </c>
      <c r="F133" s="1005"/>
    </row>
    <row r="134" spans="1:28" s="288" customFormat="1" ht="25.5" customHeight="1">
      <c r="B134" s="187"/>
      <c r="C134" s="373" t="s">
        <v>43</v>
      </c>
      <c r="D134" s="1016"/>
      <c r="E134" s="1004">
        <v>155</v>
      </c>
      <c r="F134" s="1005"/>
    </row>
    <row r="135" spans="1:28" s="288" customFormat="1" ht="25.5" customHeight="1">
      <c r="B135" s="187"/>
      <c r="C135" s="374" t="s">
        <v>39</v>
      </c>
      <c r="D135" s="1017"/>
      <c r="E135" s="1012">
        <v>195</v>
      </c>
      <c r="F135" s="1013"/>
    </row>
    <row r="136" spans="1:28" s="96" customFormat="1" ht="12.75" customHeight="1">
      <c r="A136" s="288"/>
      <c r="B136" s="286"/>
      <c r="C136" s="292" t="str">
        <f>IF('Język - Language'!$B$30="Polski","¹ Ceny dotyczą rozliczenia vCPM po statystykach wewnętrznych WPM. W przypadku rozliczenia po statystykach zewnętrznych dopłata +20%. ","¹ The above prices concern the vCPM settlement according to the internal statistics of WPM. In case of settlement based on external statistics, the +20 % extra charge applies.")</f>
        <v xml:space="preserve">¹ Ceny dotyczą rozliczenia vCPM po statystykach wewnętrznych WPM. W przypadku rozliczenia po statystykach zewnętrznych dopłata +20%. </v>
      </c>
      <c r="D136" s="131"/>
      <c r="E136" s="22"/>
      <c r="F136" s="22"/>
      <c r="G136" s="22"/>
      <c r="H136" s="22"/>
      <c r="I136" s="22"/>
      <c r="J136" s="23"/>
      <c r="K136" s="23"/>
      <c r="L136" s="23"/>
      <c r="M136" s="23"/>
      <c r="N136" s="288"/>
      <c r="O136" s="288"/>
      <c r="P136" s="288"/>
      <c r="Q136" s="288"/>
      <c r="R136" s="288"/>
      <c r="S136" s="288"/>
      <c r="T136" s="288"/>
      <c r="U136" s="288"/>
      <c r="V136" s="288"/>
      <c r="W136" s="288"/>
      <c r="X136" s="288"/>
      <c r="Y136" s="288"/>
      <c r="Z136" s="288"/>
      <c r="AA136" s="288"/>
      <c r="AB136" s="288"/>
    </row>
    <row r="137" spans="1:28" s="288" customFormat="1" ht="12.75" customHeight="1">
      <c r="B137" s="286"/>
      <c r="C137" s="292"/>
      <c r="D137" s="131"/>
      <c r="E137" s="22"/>
      <c r="F137" s="22"/>
      <c r="G137" s="22"/>
      <c r="H137" s="22"/>
      <c r="I137" s="22"/>
      <c r="J137" s="23"/>
      <c r="K137" s="23"/>
      <c r="L137" s="23"/>
      <c r="M137" s="23"/>
    </row>
    <row r="138" spans="1:28">
      <c r="A138" s="288"/>
      <c r="B138" s="288"/>
      <c r="C138" s="305"/>
      <c r="D138" s="305"/>
      <c r="E138" s="353"/>
      <c r="F138" s="353"/>
      <c r="G138" s="353"/>
      <c r="H138" s="353"/>
      <c r="I138" s="353"/>
      <c r="J138" s="305"/>
      <c r="K138" s="288"/>
      <c r="L138" s="288"/>
      <c r="M138" s="686"/>
    </row>
    <row r="139" spans="1:28" s="125" customFormat="1">
      <c r="A139" s="288"/>
      <c r="B139" s="288"/>
      <c r="C139" s="209"/>
      <c r="D139" s="209"/>
      <c r="E139" s="353"/>
      <c r="F139" s="353"/>
      <c r="G139" s="353"/>
      <c r="H139" s="353"/>
      <c r="I139" s="353"/>
      <c r="J139" s="305"/>
      <c r="K139" s="288"/>
      <c r="L139" s="288"/>
      <c r="M139" s="343"/>
      <c r="Q139" s="288"/>
    </row>
    <row r="140" spans="1:28" s="125" customFormat="1" ht="12.75" customHeight="1">
      <c r="A140" s="288"/>
      <c r="B140" s="286"/>
      <c r="C140" s="218"/>
      <c r="D140" s="345"/>
      <c r="E140" s="345"/>
      <c r="F140" s="217"/>
      <c r="G140" s="217"/>
      <c r="H140" s="216"/>
      <c r="I140" s="216"/>
      <c r="J140" s="216"/>
      <c r="K140" s="288"/>
      <c r="L140" s="343"/>
      <c r="M140" s="288"/>
      <c r="Q140" s="288"/>
    </row>
    <row r="141" spans="1:28" s="125" customFormat="1">
      <c r="A141" s="288"/>
      <c r="B141" s="288"/>
      <c r="C141" s="209"/>
      <c r="D141" s="209"/>
      <c r="E141" s="353"/>
      <c r="F141" s="353"/>
      <c r="G141" s="353"/>
      <c r="H141" s="353"/>
      <c r="I141" s="353"/>
      <c r="J141" s="305"/>
      <c r="K141" s="288"/>
      <c r="L141" s="288"/>
      <c r="M141" s="343"/>
      <c r="Q141" s="288"/>
    </row>
  </sheetData>
  <mergeCells count="90">
    <mergeCell ref="B11:B20"/>
    <mergeCell ref="L24:M25"/>
    <mergeCell ref="H25:I25"/>
    <mergeCell ref="E134:F134"/>
    <mergeCell ref="C33:C35"/>
    <mergeCell ref="D31:E31"/>
    <mergeCell ref="B31:B112"/>
    <mergeCell ref="H19:I19"/>
    <mergeCell ref="D35:E35"/>
    <mergeCell ref="D41:E41"/>
    <mergeCell ref="C121:C123"/>
    <mergeCell ref="J24:K25"/>
    <mergeCell ref="D24:E30"/>
    <mergeCell ref="F28:O28"/>
    <mergeCell ref="N24:O25"/>
    <mergeCell ref="N26:O27"/>
    <mergeCell ref="H10:I10"/>
    <mergeCell ref="F14:G14"/>
    <mergeCell ref="H26:I26"/>
    <mergeCell ref="H27:I27"/>
    <mergeCell ref="F20:G20"/>
    <mergeCell ref="H20:I20"/>
    <mergeCell ref="F13:G13"/>
    <mergeCell ref="F19:G19"/>
    <mergeCell ref="F26:G27"/>
    <mergeCell ref="F24:G25"/>
    <mergeCell ref="H24:I24"/>
    <mergeCell ref="C7:C10"/>
    <mergeCell ref="C24:C30"/>
    <mergeCell ref="C11:C19"/>
    <mergeCell ref="F10:G10"/>
    <mergeCell ref="F12:G12"/>
    <mergeCell ref="F7:G8"/>
    <mergeCell ref="F9:I9"/>
    <mergeCell ref="F11:G11"/>
    <mergeCell ref="E7:E10"/>
    <mergeCell ref="H11:I18"/>
    <mergeCell ref="D7:D10"/>
    <mergeCell ref="H7:I8"/>
    <mergeCell ref="F15:G15"/>
    <mergeCell ref="F16:G16"/>
    <mergeCell ref="F17:G17"/>
    <mergeCell ref="F18:G18"/>
    <mergeCell ref="J26:K27"/>
    <mergeCell ref="L26:M27"/>
    <mergeCell ref="C86:C97"/>
    <mergeCell ref="C98:C111"/>
    <mergeCell ref="C36:C41"/>
    <mergeCell ref="D81:E81"/>
    <mergeCell ref="D68:E68"/>
    <mergeCell ref="D44:E44"/>
    <mergeCell ref="D57:E57"/>
    <mergeCell ref="C42:C44"/>
    <mergeCell ref="C45:C57"/>
    <mergeCell ref="C58:C68"/>
    <mergeCell ref="C69:C75"/>
    <mergeCell ref="C82:C85"/>
    <mergeCell ref="C76:C81"/>
    <mergeCell ref="L29:M29"/>
    <mergeCell ref="E135:F135"/>
    <mergeCell ref="E128:F128"/>
    <mergeCell ref="E129:F129"/>
    <mergeCell ref="E130:F130"/>
    <mergeCell ref="D111:E111"/>
    <mergeCell ref="E125:F125"/>
    <mergeCell ref="E124:F124"/>
    <mergeCell ref="E132:F132"/>
    <mergeCell ref="D112:E112"/>
    <mergeCell ref="D124:D135"/>
    <mergeCell ref="E133:F133"/>
    <mergeCell ref="D122:F122"/>
    <mergeCell ref="E121:F121"/>
    <mergeCell ref="E123:F123"/>
    <mergeCell ref="E126:F126"/>
    <mergeCell ref="E127:F127"/>
    <mergeCell ref="E131:F131"/>
    <mergeCell ref="H29:I29"/>
    <mergeCell ref="J29:K29"/>
    <mergeCell ref="D32:E32"/>
    <mergeCell ref="F29:G29"/>
    <mergeCell ref="D75:E75"/>
    <mergeCell ref="D85:E85"/>
    <mergeCell ref="D97:E97"/>
    <mergeCell ref="P24:Q25"/>
    <mergeCell ref="R24:S25"/>
    <mergeCell ref="P29:Q29"/>
    <mergeCell ref="R29:S29"/>
    <mergeCell ref="M1:S3"/>
    <mergeCell ref="P28:S28"/>
    <mergeCell ref="N29:O29"/>
  </mergeCells>
  <pageMargins left="0.7" right="0.7" top="0.75" bottom="0.75" header="0.3" footer="0.3"/>
  <pageSetup paperSize="256" scale="55" fitToHeight="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pageSetUpPr fitToPage="1"/>
  </sheetPr>
  <dimension ref="A1:M116"/>
  <sheetViews>
    <sheetView zoomScaleNormal="100" workbookViewId="0">
      <pane ySplit="4" topLeftCell="A5" activePane="bottomLeft" state="frozen"/>
      <selection activeCell="N1" sqref="N1:S3"/>
      <selection pane="bottomLeft"/>
    </sheetView>
  </sheetViews>
  <sheetFormatPr defaultColWidth="15.42578125" defaultRowHeight="12.75"/>
  <cols>
    <col min="1" max="1" width="2.85546875" style="288" customWidth="1"/>
    <col min="2" max="2" width="2.85546875" style="2" customWidth="1"/>
    <col min="3" max="3" width="22.85546875" style="2" customWidth="1"/>
    <col min="4" max="4" width="35" style="2" customWidth="1"/>
    <col min="5" max="5" width="22.85546875" style="50" customWidth="1"/>
    <col min="6" max="6" width="22.85546875" style="288" customWidth="1"/>
    <col min="7" max="7" width="22.85546875" style="50" customWidth="1"/>
    <col min="8" max="8" width="4.28515625" style="288" customWidth="1"/>
    <col min="9" max="10" width="22.85546875" style="2" customWidth="1"/>
    <col min="11" max="11" width="17.140625" style="53" customWidth="1"/>
    <col min="12" max="12" width="12.85546875" style="288" customWidth="1"/>
    <col min="13" max="13" width="15.42578125" style="2" customWidth="1"/>
    <col min="14" max="16384" width="15.42578125" style="2"/>
  </cols>
  <sheetData>
    <row r="1" spans="1:13" ht="12.75" customHeight="1">
      <c r="B1" s="288"/>
      <c r="C1" s="288"/>
      <c r="D1" s="288"/>
      <c r="F1" s="726" t="str">
        <f>IF('Język - Language'!$B$30="Polski",CONCATENATE("Cennik Reklamowy Wirtualna Polska Media S.A. - obowiązuje od 1.11.2019 r.",CHAR(10),"W celu zasięgnięcia dodatkowych informacji prosimy o kontakt z Biurem Reklamy,",CHAR(10),"reklama@grupawp.pl, tel. (+48) 22 57 63 900; fax (+48) 22 57 63 959"),CONCATENATE("Advertising price list of Wirtualna Polska Media S.A. - valid from November 1, 2019",CHAR(10),"For further information please contact the Advertising Office of WP,",CHAR(10),"reklama@grupawp.pl, phone (+48) 22 57 63 900; fax (+48) 22 57 63 959"))</f>
        <v>Cennik Reklamowy Wirtualna Polska Media S.A. - obowiązuje od 1.11.2019 r.
W celu zasięgnięcia dodatkowych informacji prosimy o kontakt z Biurem Reklamy,
reklama@grupawp.pl, tel. (+48) 22 57 63 900; fax (+48) 22 57 63 959</v>
      </c>
      <c r="G1" s="726"/>
      <c r="H1" s="726"/>
      <c r="I1" s="726"/>
      <c r="J1" s="726"/>
      <c r="K1" s="290"/>
      <c r="L1" s="290"/>
    </row>
    <row r="2" spans="1:13" ht="12.75" customHeight="1">
      <c r="B2" s="288"/>
      <c r="C2" s="288"/>
      <c r="D2" s="317"/>
      <c r="E2" s="290"/>
      <c r="F2" s="726"/>
      <c r="G2" s="726"/>
      <c r="H2" s="726"/>
      <c r="I2" s="726"/>
      <c r="J2" s="726"/>
      <c r="K2" s="290"/>
      <c r="L2" s="290"/>
    </row>
    <row r="3" spans="1:13" ht="12.75" customHeight="1">
      <c r="B3" s="288"/>
      <c r="C3" s="288"/>
      <c r="D3" s="317"/>
      <c r="E3" s="290"/>
      <c r="F3" s="726"/>
      <c r="G3" s="726"/>
      <c r="H3" s="726"/>
      <c r="I3" s="726"/>
      <c r="J3" s="726"/>
      <c r="K3" s="290"/>
      <c r="L3" s="290"/>
    </row>
    <row r="4" spans="1:13" s="34" customFormat="1" ht="12.75" customHeight="1">
      <c r="A4" s="291"/>
      <c r="B4" s="291"/>
      <c r="C4" s="35" t="str">
        <f>IF('Język - Language'!$B$30="Polski","            Oferta Wideo","             Video")</f>
        <v xml:space="preserve">            Oferta Wideo</v>
      </c>
      <c r="D4" s="291"/>
      <c r="E4" s="291"/>
      <c r="F4" s="291"/>
      <c r="H4" s="291"/>
      <c r="I4" s="291"/>
      <c r="J4" s="285" t="str">
        <f>IF('Język - Language'!$B$30="Polski","PL","EN")</f>
        <v>PL</v>
      </c>
      <c r="K4" s="291"/>
    </row>
    <row r="5" spans="1:13" ht="12.75" customHeight="1">
      <c r="B5" s="288"/>
      <c r="C5" s="288"/>
      <c r="D5" s="288"/>
      <c r="E5" s="288"/>
      <c r="G5" s="288"/>
      <c r="I5" s="288"/>
      <c r="J5" s="288"/>
      <c r="K5" s="288"/>
      <c r="M5" s="288"/>
    </row>
    <row r="6" spans="1:13" s="92" customFormat="1" ht="12.75" customHeight="1">
      <c r="A6" s="288"/>
      <c r="B6" s="288"/>
      <c r="C6" s="288"/>
      <c r="D6" s="288"/>
      <c r="E6" s="288"/>
      <c r="F6" s="288"/>
      <c r="G6" s="288"/>
      <c r="H6" s="288"/>
      <c r="I6" s="288"/>
      <c r="J6" s="288"/>
      <c r="K6" s="288"/>
      <c r="L6" s="288"/>
      <c r="M6" s="288"/>
    </row>
    <row r="7" spans="1:13" ht="25.5" customHeight="1">
      <c r="B7" s="286"/>
      <c r="C7" s="1069" t="str">
        <f>IF('Język - Language'!$B$30="Polski","PAKIET","PACKAGE")</f>
        <v>PAKIET</v>
      </c>
      <c r="D7" s="1075" t="str">
        <f>IF('Język - Language'!$B$30="Polski","MIEJSCE EMISJI","PLACE OF EMISSION")</f>
        <v>MIEJSCE EMISJI</v>
      </c>
      <c r="E7" s="1072" t="s">
        <v>231</v>
      </c>
      <c r="F7" s="1073"/>
      <c r="G7" s="1074"/>
      <c r="H7" s="624"/>
      <c r="I7" s="1073" t="s">
        <v>233</v>
      </c>
      <c r="J7" s="1076"/>
      <c r="K7" s="2"/>
      <c r="L7" s="2"/>
    </row>
    <row r="8" spans="1:13" s="244" customFormat="1" ht="25.5" customHeight="1">
      <c r="A8" s="288"/>
      <c r="B8" s="286"/>
      <c r="C8" s="1070"/>
      <c r="D8" s="1076"/>
      <c r="E8" s="1066" t="s">
        <v>229</v>
      </c>
      <c r="F8" s="1066"/>
      <c r="G8" s="1067"/>
      <c r="H8" s="625"/>
      <c r="I8" s="1073"/>
      <c r="J8" s="1076"/>
    </row>
    <row r="9" spans="1:13" ht="25.5" customHeight="1">
      <c r="B9" s="286"/>
      <c r="C9" s="1071"/>
      <c r="D9" s="1077"/>
      <c r="E9" s="267" t="s">
        <v>222</v>
      </c>
      <c r="F9" s="267" t="s">
        <v>71</v>
      </c>
      <c r="G9" s="267" t="s">
        <v>72</v>
      </c>
      <c r="H9" s="626"/>
      <c r="I9" s="267" t="s">
        <v>232</v>
      </c>
      <c r="J9" s="267" t="s">
        <v>234</v>
      </c>
      <c r="K9" s="2"/>
      <c r="L9" s="2"/>
    </row>
    <row r="10" spans="1:13" ht="36" customHeight="1">
      <c r="B10" s="1057" t="str">
        <f>IF('Język - Language'!$B$30="Polski","EMISJA ODSŁONOWA CPV 3x100 Instream VideoAd","CPM EMISSION")</f>
        <v>EMISJA ODSŁONOWA CPV 3x100 Instream VideoAd</v>
      </c>
      <c r="C10" s="303" t="s">
        <v>118</v>
      </c>
      <c r="D10" s="296" t="str">
        <f>IF('Język - Language'!$B$30="Polski","WPM Zasięg (bez stron głównych o2 i WP oraz bez serwisów pocztowych)","WPM Reach (without o2 HP, WP HP and e-mail services)")</f>
        <v>WPM Zasięg (bez stron głównych o2 i WP oraz bez serwisów pocztowych)</v>
      </c>
      <c r="E10" s="556">
        <v>0.02</v>
      </c>
      <c r="F10" s="557">
        <v>0.03</v>
      </c>
      <c r="G10" s="558">
        <v>0.05</v>
      </c>
      <c r="H10" s="627"/>
      <c r="I10" s="622">
        <v>10</v>
      </c>
      <c r="J10" s="622">
        <v>27</v>
      </c>
      <c r="K10" s="2"/>
      <c r="L10" s="2"/>
    </row>
    <row r="11" spans="1:13" s="288" customFormat="1" ht="36" customHeight="1">
      <c r="B11" s="1057"/>
      <c r="C11" s="304" t="str">
        <f>IF('Język - Language'!$B$30="Polski","WYBRANY KANAŁ / SERWIS","SELECTED CHANNEL / SERVICE")</f>
        <v>WYBRANY KANAŁ / SERWIS</v>
      </c>
      <c r="D11" s="297"/>
      <c r="E11" s="559">
        <v>0.05</v>
      </c>
      <c r="F11" s="560">
        <v>7.0000000000000007E-2</v>
      </c>
      <c r="G11" s="561">
        <v>0.1</v>
      </c>
      <c r="H11" s="623"/>
      <c r="I11" s="230">
        <v>16</v>
      </c>
      <c r="J11" s="230" t="s">
        <v>58</v>
      </c>
    </row>
    <row r="12" spans="1:13" s="244" customFormat="1" ht="36" customHeight="1">
      <c r="A12" s="288"/>
      <c r="B12" s="1057"/>
      <c r="C12" s="271" t="str">
        <f>IF('Język - Language'!$B$30="Polski","BIZNES","BUSINESS")</f>
        <v>BIZNES</v>
      </c>
      <c r="D12" s="342" t="str">
        <f>'Serwisy &amp; Pakiety'!D35:E35</f>
        <v>WP Finanse, Portal Money.pl</v>
      </c>
      <c r="E12" s="559">
        <v>0.04</v>
      </c>
      <c r="F12" s="560">
        <v>0.06</v>
      </c>
      <c r="G12" s="561">
        <v>0.08</v>
      </c>
      <c r="H12" s="628"/>
      <c r="I12" s="230">
        <v>15</v>
      </c>
      <c r="J12" s="230">
        <v>90</v>
      </c>
    </row>
    <row r="13" spans="1:13" s="244" customFormat="1" ht="42" customHeight="1">
      <c r="A13" s="288"/>
      <c r="B13" s="1057"/>
      <c r="C13" s="270" t="str">
        <f>IF('Język - Language'!$B$30="Polski","INFO I SPORT","INFO AND SPORT")</f>
        <v>INFO I SPORT</v>
      </c>
      <c r="D13" s="342" t="str">
        <f>'Serwisy &amp; Pakiety'!D41:E41</f>
        <v>WP Wiadomości, WP Opinie, WP Pogoda, WP SportoweFakty, Wawalove</v>
      </c>
      <c r="E13" s="559">
        <v>0.03</v>
      </c>
      <c r="F13" s="560">
        <v>0.04</v>
      </c>
      <c r="G13" s="561">
        <v>0.06</v>
      </c>
      <c r="H13" s="628"/>
      <c r="I13" s="567">
        <v>14</v>
      </c>
      <c r="J13" s="294">
        <v>55</v>
      </c>
    </row>
    <row r="14" spans="1:13" s="244" customFormat="1" ht="36" customHeight="1">
      <c r="A14" s="288"/>
      <c r="B14" s="1057"/>
      <c r="C14" s="271" t="str">
        <f>IF('Język - Language'!$B$30="Polski","MOTORYZACJA","AUTOMOTIVE")</f>
        <v>MOTORYZACJA</v>
      </c>
      <c r="D14" s="342" t="str">
        <f>'Serwisy &amp; Pakiety'!D44:E44</f>
        <v>WP Autokult, WP Moto</v>
      </c>
      <c r="E14" s="559">
        <v>0.03</v>
      </c>
      <c r="F14" s="560">
        <v>0.04</v>
      </c>
      <c r="G14" s="561">
        <v>0.06</v>
      </c>
      <c r="H14" s="628"/>
      <c r="I14" s="567">
        <v>14</v>
      </c>
      <c r="J14" s="230">
        <v>45</v>
      </c>
    </row>
    <row r="15" spans="1:13" ht="52.5" customHeight="1">
      <c r="B15" s="1057"/>
      <c r="C15" s="270" t="str">
        <f>IF('Język - Language'!$B$30="Polski","ROZRYWKA","FUN")</f>
        <v>ROZRYWKA</v>
      </c>
      <c r="D15" s="342" t="str">
        <f>'Serwisy &amp; Pakiety'!D57:E57</f>
        <v>WP Film, WP Gry, WP Gwiazdy, WP Książki, WP Program TV, WP Teleshow, WP Pilot, WP Wideo, Pudelek, o2 serwisy, o2 warstwy, OpenFM</v>
      </c>
      <c r="E15" s="559">
        <v>0.03</v>
      </c>
      <c r="F15" s="560">
        <v>0.04</v>
      </c>
      <c r="G15" s="561">
        <v>0.06</v>
      </c>
      <c r="H15" s="628"/>
      <c r="I15" s="567">
        <v>12</v>
      </c>
      <c r="J15" s="230">
        <v>30</v>
      </c>
      <c r="K15" s="2"/>
      <c r="L15" s="2"/>
    </row>
    <row r="16" spans="1:13" ht="52.5" customHeight="1">
      <c r="B16" s="1057"/>
      <c r="C16" s="271" t="str">
        <f>IF('Język - Language'!$B$30="Polski","STYL ŻYCIA","LIFESTYLE")</f>
        <v>STYL ŻYCIA</v>
      </c>
      <c r="D16" s="342" t="str">
        <f>'Serwisy &amp; Pakiety'!D68:E68</f>
        <v>WP abcZdrowie, WP Dom, WP Facet, WP Kobieta, Kafeteria.pl, WP Kuchnia, WP Parenting, WP Program TV, WP Turystyka, OpenFM</v>
      </c>
      <c r="E16" s="559">
        <v>0.03</v>
      </c>
      <c r="F16" s="560">
        <v>0.04</v>
      </c>
      <c r="G16" s="561">
        <v>6.25E-2</v>
      </c>
      <c r="H16" s="628"/>
      <c r="I16" s="567">
        <v>14</v>
      </c>
      <c r="J16" s="567">
        <v>45</v>
      </c>
      <c r="K16" s="2"/>
      <c r="L16" s="2"/>
    </row>
    <row r="17" spans="1:13" ht="42" customHeight="1">
      <c r="B17" s="1057"/>
      <c r="C17" s="271" t="str">
        <f>IF('Język - Language'!$B$30="Polski","TECHNOLOGIA","TECHNOLOGY")</f>
        <v>TECHNOLOGIA</v>
      </c>
      <c r="D17" s="342" t="str">
        <f>'Serwisy &amp; Pakiety'!D75:E75</f>
        <v>WP Tech, WP Gry, WP Fotoblogia, WP Gadżetomania, WP Komórkomania, dobreprogramy.pl⁵</v>
      </c>
      <c r="E17" s="559">
        <v>2.5000000000000001E-2</v>
      </c>
      <c r="F17" s="560">
        <v>3.7500000000000089E-2</v>
      </c>
      <c r="G17" s="561">
        <v>6.25E-2</v>
      </c>
      <c r="H17" s="623"/>
      <c r="I17" s="567">
        <v>14</v>
      </c>
      <c r="J17" s="230">
        <v>45</v>
      </c>
      <c r="K17" s="2"/>
      <c r="L17" s="2"/>
    </row>
    <row r="18" spans="1:13" s="48" customFormat="1" ht="36" customHeight="1">
      <c r="A18" s="288"/>
      <c r="B18" s="1057"/>
      <c r="C18" s="271" t="str">
        <f>IF('Język - Language'!$B$30="Polski","ZDROWIE I PARENTING","HEALTH AND PARENTING")</f>
        <v>ZDROWIE I PARENTING</v>
      </c>
      <c r="D18" s="342" t="str">
        <f>'Serwisy &amp; Pakiety'!D81:E81</f>
        <v>WP abcZdrowie, WP Fitness, WP Parenting, Medycyna24, Nerwica.com</v>
      </c>
      <c r="E18" s="559">
        <v>0.05</v>
      </c>
      <c r="F18" s="560">
        <v>7.0000000000000007E-2</v>
      </c>
      <c r="G18" s="561">
        <v>0.1</v>
      </c>
      <c r="H18" s="628"/>
      <c r="I18" s="567">
        <v>17</v>
      </c>
      <c r="J18" s="413">
        <v>83</v>
      </c>
    </row>
    <row r="19" spans="1:13" s="288" customFormat="1" ht="36" customHeight="1">
      <c r="B19" s="1057"/>
      <c r="C19" s="271" t="str">
        <f>IF('Język - Language'!$B$30="Polski","WIDEO I AUDIO","VIDEO AND AUDIO")</f>
        <v>WIDEO I AUDIO</v>
      </c>
      <c r="D19" s="342" t="str">
        <f>'Serwisy &amp; Pakiety'!D85:E85</f>
        <v>WP Pilot, WP Wideo, OpenFM</v>
      </c>
      <c r="E19" s="559">
        <v>0.04</v>
      </c>
      <c r="F19" s="560">
        <v>0.06</v>
      </c>
      <c r="G19" s="561">
        <v>0.08</v>
      </c>
      <c r="H19" s="628"/>
      <c r="I19" s="294">
        <v>15</v>
      </c>
      <c r="J19" s="230">
        <v>45</v>
      </c>
    </row>
    <row r="20" spans="1:13" s="288" customFormat="1" ht="52.5" customHeight="1">
      <c r="B20" s="1057"/>
      <c r="C20" s="428" t="str">
        <f>IF('Język - Language'!$B$30="Polski","PAKIET SPECJALNY 'KOBIETA'","DEDICATED PACKAGE 'WOMAN'")</f>
        <v>PAKIET SPECJALNY 'KOBIETA'</v>
      </c>
      <c r="D20" s="427" t="str">
        <f>'Serwisy &amp; Pakiety'!D97:E97</f>
        <v>Kafeteria.pl, WP Kobieta, Pudelek, WP Dom, WP Gwiazdy, WP Kuchnia, WP Fitness, WP abcZdrowie, WP Parenting, WP Teleshow, WP Książki</v>
      </c>
      <c r="E20" s="559">
        <v>0.04</v>
      </c>
      <c r="F20" s="560">
        <v>0.06</v>
      </c>
      <c r="G20" s="561">
        <v>0.08</v>
      </c>
      <c r="H20" s="628"/>
      <c r="I20" s="230">
        <v>15</v>
      </c>
      <c r="J20" s="567">
        <v>45</v>
      </c>
    </row>
    <row r="21" spans="1:13" s="288" customFormat="1" ht="52.5" customHeight="1">
      <c r="B21" s="1057"/>
      <c r="C21" s="428" t="str">
        <f>IF('Język - Language'!$B$30="Polski","PAKIET SPECJALNY 'MĘŻCZYZNA'","DEDICATED PACKAGE 'MAN'")</f>
        <v>PAKIET SPECJALNY 'MĘŻCZYZNA'</v>
      </c>
      <c r="D21" s="427" t="str">
        <f>'Serwisy &amp; Pakiety'!D111:E111</f>
        <v>WP SportoweFakty, WP Facet, WP Dom, WP Moto, WP Tech, WP Autokult, WP Fotoblogia, WP Gadżetomania, WP Komórkomania, WP Gry, WP Pilot, WP Film, dobreprogramy.pl⁵</v>
      </c>
      <c r="E21" s="559">
        <v>0.04</v>
      </c>
      <c r="F21" s="560">
        <v>0.06</v>
      </c>
      <c r="G21" s="561">
        <v>0.08</v>
      </c>
      <c r="H21" s="623"/>
      <c r="I21" s="294">
        <v>15</v>
      </c>
      <c r="J21" s="567">
        <v>45</v>
      </c>
    </row>
    <row r="22" spans="1:13" ht="36" customHeight="1">
      <c r="B22" s="1057"/>
      <c r="C22" s="303" t="s">
        <v>74</v>
      </c>
      <c r="D22" s="541" t="str">
        <f>IF('Język - Language'!$B$30="Polski","Min. 4 wybrane serwisy - BEZ SERWISÓW KATEGORII BIZNES oraz ZDROWIE I PRENTING","Min. 4 selected sites - EXCLUDING BUSINESS, HEALTH AND PARENTING SITES")</f>
        <v>Min. 4 wybrane serwisy - BEZ SERWISÓW KATEGORII BIZNES oraz ZDROWIE I PRENTING</v>
      </c>
      <c r="E22" s="559">
        <v>0.04</v>
      </c>
      <c r="F22" s="560">
        <v>0.06</v>
      </c>
      <c r="G22" s="561">
        <v>0.08</v>
      </c>
      <c r="H22" s="628"/>
      <c r="I22" s="230">
        <v>15</v>
      </c>
      <c r="J22" s="567">
        <v>67</v>
      </c>
      <c r="K22" s="2"/>
      <c r="L22" s="2"/>
    </row>
    <row r="23" spans="1:13" s="288" customFormat="1" ht="25.5" customHeight="1">
      <c r="B23" s="617"/>
      <c r="C23" s="614"/>
      <c r="D23" s="615"/>
      <c r="E23" s="616"/>
      <c r="F23" s="616"/>
      <c r="G23" s="616"/>
      <c r="H23" s="616"/>
      <c r="I23" s="305"/>
    </row>
    <row r="24" spans="1:13" s="288" customFormat="1" ht="25.5" customHeight="1">
      <c r="B24" s="1057" t="s">
        <v>225</v>
      </c>
      <c r="C24" s="1069" t="str">
        <f>IF('Język - Language'!$B$30="Polski","PAKIET","PACKAGE")</f>
        <v>PAKIET</v>
      </c>
      <c r="D24" s="1075" t="str">
        <f>IF('Język - Language'!$B$30="Polski","MIEJSCE EMISJI","PLACE OF EMISSION")</f>
        <v>MIEJSCE EMISJI</v>
      </c>
      <c r="E24" s="1065" t="str">
        <f>IF('Język - Language'!$B$30="Polski","InStream Video Ad CPM, Instream Video Skip Ad CPM","INSTREAM VIDEO AD CPM, PREROLL SKIP AD CPM")</f>
        <v>InStream Video Ad CPM, Instream Video Skip Ad CPM</v>
      </c>
      <c r="F24" s="1066"/>
      <c r="G24" s="1067"/>
      <c r="I24" s="247" t="str">
        <f>IF('Język - Language'!$B$30="Polski","Instream Audio Ad OPEN.FM","INSTREAM AUDIO AD OPEN.FM")</f>
        <v>Instream Audio Ad OPEN.FM</v>
      </c>
      <c r="J24" s="633" t="s">
        <v>228</v>
      </c>
      <c r="K24" s="305"/>
    </row>
    <row r="25" spans="1:13" s="288" customFormat="1" ht="25.5" customHeight="1">
      <c r="B25" s="1057"/>
      <c r="C25" s="1070"/>
      <c r="D25" s="1076"/>
      <c r="E25" s="1065" t="str">
        <f>IF('Język - Language'!$B$30="Polski","rozliczenie CPM za rozpoczęte odtworzenia, wg statystyk wewnętrznych WPM²","CPM settlement for started video playbacks, according to internal statistics of WPM²")</f>
        <v>rozliczenie CPM za rozpoczęte odtworzenia, wg statystyk wewnętrznych WPM²</v>
      </c>
      <c r="F25" s="1066"/>
      <c r="G25" s="1066"/>
      <c r="H25" s="632"/>
      <c r="I25" s="630"/>
      <c r="J25" s="631"/>
      <c r="K25" s="305"/>
    </row>
    <row r="26" spans="1:13" s="288" customFormat="1" ht="25.5" customHeight="1">
      <c r="B26" s="1057"/>
      <c r="C26" s="1071"/>
      <c r="D26" s="1077"/>
      <c r="E26" s="269" t="s">
        <v>71</v>
      </c>
      <c r="F26" s="267" t="str">
        <f>IF('Język - Language'!$B$30="Polski",CONCATENATE("30",CHAR(34)," i dłuższy³"),CONCATENATE("30",CHAR(34)," or longer³"))</f>
        <v>30" i dłuższy³</v>
      </c>
      <c r="G26" s="267" t="s">
        <v>235</v>
      </c>
      <c r="I26" s="268" t="s">
        <v>236</v>
      </c>
      <c r="J26" s="631"/>
      <c r="K26" s="305"/>
    </row>
    <row r="27" spans="1:13" s="288" customFormat="1" ht="42" customHeight="1">
      <c r="B27" s="1057"/>
      <c r="C27" s="270" t="s">
        <v>118</v>
      </c>
      <c r="D27" s="296" t="str">
        <f>IF('Język - Language'!$B$30="Polski","WPM Zasięg (bez stron głównych o2 i WP oraz bez serwisów pocztowych)","WPM Reach (without o2 HP, WP HP and e-mail services)")</f>
        <v>WPM Zasięg (bez stron głównych o2 i WP oraz bez serwisów pocztowych)</v>
      </c>
      <c r="E27" s="620" t="s">
        <v>58</v>
      </c>
      <c r="F27" s="619" t="s">
        <v>58</v>
      </c>
      <c r="G27" s="619">
        <v>155</v>
      </c>
      <c r="H27" s="635"/>
      <c r="I27" s="613" t="s">
        <v>58</v>
      </c>
      <c r="J27" s="567">
        <v>80</v>
      </c>
      <c r="K27" s="611"/>
    </row>
    <row r="28" spans="1:13" s="288" customFormat="1" ht="42" customHeight="1">
      <c r="B28" s="1057"/>
      <c r="C28" s="618" t="s">
        <v>223</v>
      </c>
      <c r="D28" s="568" t="s">
        <v>224</v>
      </c>
      <c r="E28" s="610">
        <v>110</v>
      </c>
      <c r="F28" s="566">
        <v>165</v>
      </c>
      <c r="G28" s="634" t="s">
        <v>58</v>
      </c>
      <c r="H28" s="635"/>
      <c r="I28" s="1078" t="s">
        <v>58</v>
      </c>
      <c r="J28" s="1079"/>
      <c r="K28" s="611"/>
    </row>
    <row r="29" spans="1:13" s="288" customFormat="1" ht="42" customHeight="1">
      <c r="B29" s="1068"/>
      <c r="C29" s="271" t="s">
        <v>150</v>
      </c>
      <c r="D29" s="569" t="s">
        <v>226</v>
      </c>
      <c r="E29" s="610" t="s">
        <v>58</v>
      </c>
      <c r="F29" s="621" t="s">
        <v>58</v>
      </c>
      <c r="G29" s="621" t="s">
        <v>58</v>
      </c>
      <c r="H29" s="635"/>
      <c r="I29" s="612" t="s">
        <v>73</v>
      </c>
      <c r="J29" s="629" t="s">
        <v>58</v>
      </c>
      <c r="K29" s="611"/>
    </row>
    <row r="30" spans="1:13">
      <c r="B30" s="288"/>
      <c r="C30" s="249" t="str">
        <f>IF('Język - Language'!$B$30="Polski","¹ OutStream - dotyczy emisji tylko na wybranych serwisach, niedostępny dla modelu Skip Ad","¹ OutStream - available only in selected sites, not avaible for Skip Ad")</f>
        <v>¹ OutStream - dotyczy emisji tylko na wybranych serwisach, niedostępny dla modelu Skip Ad</v>
      </c>
      <c r="D30" s="250"/>
      <c r="E30" s="305"/>
      <c r="F30" s="305"/>
      <c r="G30" s="305"/>
      <c r="H30" s="305"/>
      <c r="I30" s="248"/>
      <c r="J30" s="248"/>
      <c r="K30" s="248"/>
      <c r="L30" s="305"/>
      <c r="M30" s="305"/>
    </row>
    <row r="31" spans="1:13">
      <c r="B31" s="288"/>
      <c r="C31" s="305" t="str">
        <f>IF('Język - Language'!$B$30="Polski","² W przypadku emisji InStream Video Ad z kodów emisyjnych dopłata do ceny bazowej +30%. Dopłata ta dopuszcza ewentualną doemisję maksymalnie 30% różnicy pomiędzy statystykami po stronie klienta i po stronie WPM.","² In case of Instream Video Ad broadcast from external codes, the extra charge of 30% applies")</f>
        <v>² W przypadku emisji InStream Video Ad z kodów emisyjnych dopłata do ceny bazowej +30%. Dopłata ta dopuszcza ewentualną doemisję maksymalnie 30% różnicy pomiędzy statystykami po stronie klienta i po stronie WPM.</v>
      </c>
      <c r="D31" s="1"/>
      <c r="E31" s="288"/>
      <c r="G31" s="288"/>
      <c r="I31" s="288"/>
      <c r="J31" s="288"/>
      <c r="K31" s="288"/>
      <c r="M31" s="305"/>
    </row>
    <row r="32" spans="1:13">
      <c r="B32" s="288"/>
      <c r="C32" s="305" t="str">
        <f>IF('Język - Language'!$B$30="Polski",CONCATENATE("³ InStream Video Ad 30",CHAR(34),"+ tylko w modelu Skip Ad"),CONCATENATE("³ InStream Video Ad 30",CHAR(34),"+ only for Skip Ad"))</f>
        <v>³ InStream Video Ad 30"+ tylko w modelu Skip Ad</v>
      </c>
      <c r="D32" s="288"/>
      <c r="E32" s="288"/>
      <c r="G32" s="288"/>
      <c r="I32" s="288"/>
      <c r="J32" s="288"/>
      <c r="K32" s="288"/>
      <c r="M32" s="288"/>
    </row>
    <row r="33" spans="1:13">
      <c r="B33" s="288"/>
      <c r="C33" s="194" t="s">
        <v>230</v>
      </c>
      <c r="D33" s="288"/>
      <c r="E33" s="288"/>
      <c r="G33" s="288"/>
      <c r="I33" s="288"/>
      <c r="J33" s="288"/>
      <c r="K33" s="288"/>
      <c r="M33" s="288"/>
    </row>
    <row r="34" spans="1:13" s="288" customFormat="1">
      <c r="C34" s="194"/>
    </row>
    <row r="35" spans="1:13">
      <c r="B35" s="288"/>
      <c r="C35" s="308" t="s">
        <v>238</v>
      </c>
      <c r="D35" s="288"/>
      <c r="E35" s="288"/>
      <c r="G35" s="288"/>
      <c r="I35" s="288"/>
      <c r="J35" s="288"/>
      <c r="K35" s="288"/>
      <c r="M35" s="288"/>
    </row>
    <row r="36" spans="1:13">
      <c r="B36" s="288"/>
      <c r="C36" s="308" t="s">
        <v>239</v>
      </c>
      <c r="D36" s="288"/>
      <c r="E36" s="288"/>
      <c r="G36" s="288"/>
      <c r="I36" s="288"/>
      <c r="J36" s="288"/>
      <c r="K36" s="288"/>
      <c r="M36" s="288"/>
    </row>
    <row r="37" spans="1:13" ht="15">
      <c r="B37" s="288"/>
      <c r="C37" s="288"/>
      <c r="D37" s="368"/>
      <c r="E37" s="288"/>
      <c r="G37" s="288"/>
      <c r="I37" s="288"/>
      <c r="J37" s="288"/>
      <c r="K37" s="288"/>
      <c r="M37" s="288"/>
    </row>
    <row r="38" spans="1:13">
      <c r="A38" s="609"/>
      <c r="B38" s="288"/>
      <c r="C38" s="288"/>
      <c r="D38" s="288"/>
      <c r="E38" s="288"/>
      <c r="G38" s="288"/>
      <c r="I38" s="288"/>
      <c r="J38" s="288"/>
      <c r="K38" s="288"/>
      <c r="M38" s="288"/>
    </row>
    <row r="39" spans="1:13">
      <c r="B39" s="288"/>
      <c r="C39" s="288"/>
      <c r="D39" s="288"/>
      <c r="E39" s="288"/>
      <c r="G39" s="288"/>
      <c r="I39" s="288"/>
      <c r="J39" s="288"/>
      <c r="K39" s="288"/>
      <c r="M39" s="288"/>
    </row>
    <row r="40" spans="1:13">
      <c r="B40" s="288"/>
      <c r="C40" s="288"/>
      <c r="D40" s="288"/>
      <c r="E40" s="288"/>
      <c r="G40" s="288"/>
      <c r="I40" s="288"/>
      <c r="J40" s="288"/>
      <c r="K40" s="288"/>
      <c r="M40" s="288"/>
    </row>
    <row r="41" spans="1:13">
      <c r="C41" s="288"/>
      <c r="D41" s="288"/>
      <c r="E41" s="288"/>
      <c r="G41" s="288"/>
      <c r="I41" s="288"/>
      <c r="J41" s="288"/>
      <c r="K41" s="288"/>
    </row>
    <row r="42" spans="1:13">
      <c r="C42" s="288"/>
      <c r="D42" s="288"/>
      <c r="E42" s="288"/>
      <c r="G42" s="288"/>
      <c r="I42" s="288"/>
      <c r="J42" s="288"/>
      <c r="K42" s="288"/>
    </row>
    <row r="43" spans="1:13">
      <c r="C43" s="288"/>
      <c r="D43" s="288"/>
      <c r="E43" s="288"/>
      <c r="G43" s="288"/>
      <c r="I43" s="288"/>
      <c r="J43" s="288"/>
      <c r="K43" s="288"/>
    </row>
    <row r="44" spans="1:13">
      <c r="C44" s="288"/>
      <c r="D44" s="288"/>
      <c r="E44" s="288"/>
      <c r="G44" s="288"/>
      <c r="I44" s="288"/>
      <c r="J44" s="288"/>
      <c r="K44" s="288"/>
    </row>
    <row r="45" spans="1:13">
      <c r="C45" s="288"/>
      <c r="D45" s="288"/>
      <c r="E45" s="288"/>
      <c r="G45" s="288"/>
      <c r="I45" s="288"/>
      <c r="J45" s="288"/>
      <c r="K45" s="288"/>
    </row>
    <row r="46" spans="1:13">
      <c r="C46" s="288"/>
      <c r="D46" s="288"/>
      <c r="E46" s="288"/>
      <c r="G46" s="288"/>
      <c r="I46" s="288"/>
      <c r="J46" s="288"/>
      <c r="K46" s="288"/>
    </row>
    <row r="47" spans="1:13">
      <c r="C47" s="288"/>
      <c r="D47" s="288"/>
      <c r="E47" s="288"/>
      <c r="G47" s="288"/>
      <c r="I47" s="288"/>
      <c r="J47" s="288"/>
      <c r="K47" s="288"/>
    </row>
    <row r="48" spans="1:13">
      <c r="C48" s="288"/>
      <c r="D48" s="288"/>
      <c r="E48" s="288"/>
      <c r="G48" s="288"/>
      <c r="I48" s="288"/>
      <c r="J48" s="288"/>
      <c r="K48" s="288"/>
    </row>
    <row r="49" spans="3:11">
      <c r="C49" s="288"/>
      <c r="D49" s="288"/>
      <c r="E49" s="288"/>
      <c r="G49" s="288"/>
      <c r="I49" s="288"/>
      <c r="J49" s="288"/>
      <c r="K49" s="288"/>
    </row>
    <row r="50" spans="3:11">
      <c r="C50" s="288"/>
      <c r="D50" s="288"/>
      <c r="E50" s="288"/>
      <c r="G50" s="288"/>
      <c r="I50" s="288"/>
      <c r="J50" s="288"/>
      <c r="K50" s="288"/>
    </row>
    <row r="51" spans="3:11">
      <c r="C51" s="288"/>
      <c r="D51" s="288"/>
      <c r="E51" s="288"/>
      <c r="G51" s="288"/>
      <c r="I51" s="288"/>
      <c r="J51" s="288"/>
      <c r="K51" s="288"/>
    </row>
    <row r="52" spans="3:11">
      <c r="C52" s="288"/>
      <c r="D52" s="288"/>
      <c r="E52" s="288"/>
      <c r="G52" s="288"/>
      <c r="I52" s="288"/>
      <c r="J52" s="288"/>
      <c r="K52" s="288"/>
    </row>
    <row r="53" spans="3:11">
      <c r="C53" s="288"/>
      <c r="D53" s="288"/>
      <c r="E53" s="288"/>
      <c r="G53" s="288"/>
      <c r="I53" s="288"/>
      <c r="J53" s="288"/>
      <c r="K53" s="288"/>
    </row>
    <row r="54" spans="3:11">
      <c r="C54" s="288"/>
      <c r="D54" s="288"/>
      <c r="E54" s="288"/>
      <c r="G54" s="288"/>
      <c r="I54" s="288"/>
      <c r="J54" s="288"/>
      <c r="K54" s="288"/>
    </row>
    <row r="55" spans="3:11">
      <c r="C55" s="288"/>
      <c r="D55" s="288"/>
      <c r="E55" s="288"/>
      <c r="G55" s="288"/>
      <c r="I55" s="288"/>
      <c r="J55" s="288"/>
      <c r="K55" s="288"/>
    </row>
    <row r="56" spans="3:11">
      <c r="C56" s="288"/>
      <c r="D56" s="288"/>
      <c r="E56" s="288"/>
      <c r="G56" s="288"/>
      <c r="I56" s="288"/>
      <c r="J56" s="288"/>
      <c r="K56" s="288"/>
    </row>
    <row r="57" spans="3:11">
      <c r="C57" s="288"/>
      <c r="D57" s="288"/>
      <c r="E57" s="288"/>
      <c r="G57" s="288"/>
      <c r="I57" s="288"/>
      <c r="J57" s="288"/>
      <c r="K57" s="288"/>
    </row>
    <row r="58" spans="3:11">
      <c r="C58" s="288"/>
      <c r="D58" s="288"/>
      <c r="E58" s="288"/>
      <c r="G58" s="288"/>
      <c r="I58" s="288"/>
      <c r="J58" s="288"/>
      <c r="K58" s="288"/>
    </row>
    <row r="59" spans="3:11">
      <c r="C59" s="288"/>
      <c r="D59" s="288"/>
      <c r="E59" s="288"/>
      <c r="G59" s="288"/>
      <c r="I59" s="288"/>
      <c r="J59" s="288"/>
      <c r="K59" s="288"/>
    </row>
    <row r="60" spans="3:11">
      <c r="C60" s="288"/>
      <c r="D60" s="288"/>
      <c r="E60" s="288"/>
      <c r="G60" s="288"/>
      <c r="I60" s="288"/>
      <c r="J60" s="288"/>
      <c r="K60" s="288"/>
    </row>
    <row r="61" spans="3:11">
      <c r="C61" s="288"/>
      <c r="D61" s="288"/>
      <c r="E61" s="288"/>
      <c r="G61" s="288"/>
      <c r="I61" s="288"/>
      <c r="J61" s="288"/>
      <c r="K61" s="288"/>
    </row>
    <row r="62" spans="3:11">
      <c r="C62" s="288"/>
      <c r="D62" s="288"/>
      <c r="E62" s="288"/>
      <c r="G62" s="288"/>
      <c r="I62" s="288"/>
      <c r="J62" s="288"/>
      <c r="K62" s="288"/>
    </row>
    <row r="63" spans="3:11">
      <c r="C63" s="288"/>
      <c r="D63" s="288"/>
      <c r="E63" s="288"/>
      <c r="G63" s="288"/>
      <c r="I63" s="288"/>
      <c r="J63" s="288"/>
      <c r="K63" s="288"/>
    </row>
    <row r="64" spans="3:11">
      <c r="C64" s="288"/>
      <c r="D64" s="288"/>
      <c r="E64" s="288"/>
      <c r="G64" s="288"/>
      <c r="I64" s="288"/>
      <c r="J64" s="288"/>
      <c r="K64" s="288"/>
    </row>
    <row r="65" spans="3:11">
      <c r="C65" s="288"/>
      <c r="D65" s="288"/>
      <c r="E65" s="288"/>
      <c r="G65" s="288"/>
      <c r="I65" s="288"/>
      <c r="J65" s="288"/>
      <c r="K65" s="288"/>
    </row>
    <row r="66" spans="3:11">
      <c r="C66" s="288"/>
      <c r="D66" s="288"/>
      <c r="E66" s="288"/>
      <c r="G66" s="288"/>
      <c r="I66" s="288"/>
      <c r="J66" s="288"/>
      <c r="K66" s="288"/>
    </row>
    <row r="67" spans="3:11">
      <c r="C67" s="288"/>
      <c r="D67" s="288"/>
      <c r="E67" s="288"/>
      <c r="G67" s="288"/>
      <c r="I67" s="288"/>
      <c r="J67" s="288"/>
      <c r="K67" s="288"/>
    </row>
    <row r="68" spans="3:11">
      <c r="C68" s="288"/>
      <c r="D68" s="288"/>
      <c r="E68" s="288"/>
      <c r="G68" s="288"/>
      <c r="I68" s="288"/>
      <c r="J68" s="288"/>
      <c r="K68" s="288"/>
    </row>
    <row r="69" spans="3:11">
      <c r="C69" s="288"/>
      <c r="D69" s="288"/>
      <c r="E69" s="288"/>
      <c r="G69" s="288"/>
      <c r="I69" s="288"/>
      <c r="J69" s="288"/>
      <c r="K69" s="288"/>
    </row>
    <row r="70" spans="3:11">
      <c r="C70" s="288"/>
      <c r="D70" s="288"/>
      <c r="E70" s="288"/>
      <c r="G70" s="288"/>
      <c r="I70" s="288"/>
      <c r="J70" s="288"/>
      <c r="K70" s="288"/>
    </row>
    <row r="71" spans="3:11">
      <c r="C71" s="288"/>
      <c r="D71" s="288"/>
      <c r="E71" s="288"/>
      <c r="G71" s="288"/>
      <c r="I71" s="288"/>
      <c r="J71" s="288"/>
      <c r="K71" s="288"/>
    </row>
    <row r="72" spans="3:11">
      <c r="C72" s="288"/>
      <c r="D72" s="288"/>
      <c r="E72" s="288"/>
      <c r="G72" s="288"/>
      <c r="I72" s="288"/>
      <c r="J72" s="288"/>
      <c r="K72" s="288"/>
    </row>
    <row r="73" spans="3:11">
      <c r="C73" s="288"/>
      <c r="D73" s="288"/>
      <c r="E73" s="288"/>
      <c r="G73" s="288"/>
      <c r="I73" s="288"/>
      <c r="J73" s="288"/>
      <c r="K73" s="288"/>
    </row>
    <row r="74" spans="3:11">
      <c r="C74" s="288"/>
      <c r="D74" s="288"/>
      <c r="E74" s="288"/>
      <c r="G74" s="288"/>
      <c r="I74" s="288"/>
      <c r="J74" s="288"/>
      <c r="K74" s="288"/>
    </row>
    <row r="75" spans="3:11">
      <c r="C75" s="288"/>
      <c r="D75" s="288"/>
      <c r="E75" s="288"/>
      <c r="G75" s="288"/>
      <c r="I75" s="288"/>
      <c r="J75" s="288"/>
      <c r="K75" s="288"/>
    </row>
    <row r="76" spans="3:11">
      <c r="C76" s="288"/>
      <c r="D76" s="288"/>
      <c r="E76" s="288"/>
      <c r="G76" s="288"/>
      <c r="I76" s="288"/>
      <c r="J76" s="288"/>
      <c r="K76" s="288"/>
    </row>
    <row r="77" spans="3:11">
      <c r="C77" s="288"/>
      <c r="D77" s="288"/>
      <c r="E77" s="288"/>
      <c r="G77" s="288"/>
      <c r="I77" s="288"/>
      <c r="J77" s="288"/>
      <c r="K77" s="288"/>
    </row>
    <row r="78" spans="3:11">
      <c r="C78" s="288"/>
      <c r="D78" s="288"/>
      <c r="E78" s="288"/>
      <c r="G78" s="288"/>
      <c r="I78" s="288"/>
      <c r="J78" s="288"/>
      <c r="K78" s="288"/>
    </row>
    <row r="79" spans="3:11">
      <c r="C79" s="288"/>
      <c r="D79" s="288"/>
      <c r="E79" s="288"/>
      <c r="G79" s="288"/>
      <c r="I79" s="288"/>
      <c r="J79" s="288"/>
      <c r="K79" s="288"/>
    </row>
    <row r="80" spans="3:11">
      <c r="C80" s="288"/>
      <c r="D80" s="288"/>
      <c r="E80" s="288"/>
      <c r="G80" s="288"/>
      <c r="I80" s="288"/>
      <c r="J80" s="288"/>
      <c r="K80" s="288"/>
    </row>
    <row r="81" spans="3:11">
      <c r="C81" s="288"/>
      <c r="D81" s="288"/>
      <c r="E81" s="288"/>
      <c r="G81" s="288"/>
      <c r="I81" s="288"/>
      <c r="J81" s="288"/>
      <c r="K81" s="288"/>
    </row>
    <row r="82" spans="3:11">
      <c r="C82" s="288"/>
      <c r="D82" s="288"/>
      <c r="E82" s="288"/>
      <c r="G82" s="288"/>
      <c r="I82" s="288"/>
      <c r="J82" s="288"/>
      <c r="K82" s="288"/>
    </row>
    <row r="83" spans="3:11">
      <c r="C83" s="288"/>
      <c r="D83" s="288"/>
      <c r="E83" s="288"/>
      <c r="G83" s="288"/>
      <c r="I83" s="288"/>
      <c r="J83" s="288"/>
      <c r="K83" s="288"/>
    </row>
    <row r="84" spans="3:11">
      <c r="C84" s="288"/>
      <c r="D84" s="288"/>
      <c r="E84" s="288"/>
      <c r="G84" s="288"/>
      <c r="I84" s="288"/>
      <c r="J84" s="288"/>
      <c r="K84" s="288"/>
    </row>
    <row r="85" spans="3:11">
      <c r="C85" s="288"/>
      <c r="D85" s="288"/>
      <c r="E85" s="288"/>
      <c r="G85" s="288"/>
      <c r="I85" s="288"/>
      <c r="J85" s="288"/>
      <c r="K85" s="288"/>
    </row>
    <row r="86" spans="3:11">
      <c r="C86" s="288"/>
      <c r="D86" s="288"/>
      <c r="E86" s="288"/>
      <c r="G86" s="288"/>
      <c r="I86" s="288"/>
      <c r="J86" s="288"/>
      <c r="K86" s="288"/>
    </row>
    <row r="87" spans="3:11">
      <c r="C87" s="288"/>
      <c r="D87" s="288"/>
      <c r="E87" s="288"/>
      <c r="G87" s="288"/>
      <c r="I87" s="288"/>
      <c r="J87" s="288"/>
      <c r="K87" s="288"/>
    </row>
    <row r="88" spans="3:11">
      <c r="C88" s="288"/>
      <c r="D88" s="288"/>
      <c r="E88" s="288"/>
      <c r="G88" s="288"/>
      <c r="I88" s="288"/>
      <c r="J88" s="288"/>
      <c r="K88" s="288"/>
    </row>
    <row r="89" spans="3:11">
      <c r="C89" s="288"/>
      <c r="D89" s="288"/>
      <c r="E89" s="288"/>
      <c r="G89" s="288"/>
      <c r="I89" s="288"/>
      <c r="J89" s="288"/>
      <c r="K89" s="288"/>
    </row>
    <row r="90" spans="3:11">
      <c r="C90" s="288"/>
      <c r="D90" s="288"/>
      <c r="E90" s="288"/>
      <c r="G90" s="288"/>
      <c r="I90" s="288"/>
      <c r="J90" s="288"/>
      <c r="K90" s="288"/>
    </row>
    <row r="91" spans="3:11">
      <c r="C91" s="288"/>
      <c r="D91" s="288"/>
      <c r="E91" s="288"/>
      <c r="G91" s="288"/>
      <c r="I91" s="288"/>
      <c r="J91" s="288"/>
      <c r="K91" s="288"/>
    </row>
    <row r="92" spans="3:11">
      <c r="C92" s="288"/>
      <c r="D92" s="288"/>
      <c r="E92" s="288"/>
      <c r="G92" s="288"/>
      <c r="I92" s="288"/>
      <c r="J92" s="288"/>
      <c r="K92" s="288"/>
    </row>
    <row r="93" spans="3:11">
      <c r="C93" s="288"/>
      <c r="D93" s="288"/>
      <c r="E93" s="288"/>
      <c r="G93" s="288"/>
      <c r="I93" s="288"/>
      <c r="J93" s="288"/>
      <c r="K93" s="288"/>
    </row>
    <row r="94" spans="3:11">
      <c r="C94" s="288"/>
      <c r="D94" s="288"/>
      <c r="E94" s="288"/>
      <c r="G94" s="288"/>
      <c r="I94" s="288"/>
      <c r="J94" s="288"/>
      <c r="K94" s="288"/>
    </row>
    <row r="95" spans="3:11">
      <c r="C95" s="288"/>
      <c r="D95" s="288"/>
      <c r="E95" s="288"/>
      <c r="G95" s="288"/>
      <c r="I95" s="288"/>
      <c r="J95" s="288"/>
      <c r="K95" s="288"/>
    </row>
    <row r="96" spans="3:11">
      <c r="C96" s="288"/>
      <c r="D96" s="288"/>
      <c r="E96" s="288"/>
      <c r="G96" s="288"/>
      <c r="I96" s="288"/>
      <c r="J96" s="288"/>
      <c r="K96" s="288"/>
    </row>
    <row r="97" spans="3:11">
      <c r="C97" s="288"/>
      <c r="D97" s="288"/>
      <c r="E97" s="288"/>
      <c r="G97" s="288"/>
      <c r="I97" s="288"/>
      <c r="J97" s="288"/>
      <c r="K97" s="288"/>
    </row>
    <row r="98" spans="3:11">
      <c r="C98" s="288"/>
      <c r="D98" s="288"/>
      <c r="E98" s="288"/>
      <c r="G98" s="288"/>
      <c r="I98" s="288"/>
      <c r="J98" s="288"/>
      <c r="K98" s="288"/>
    </row>
    <row r="99" spans="3:11">
      <c r="C99" s="288"/>
      <c r="D99" s="288"/>
      <c r="E99" s="288"/>
      <c r="G99" s="288"/>
      <c r="I99" s="288"/>
      <c r="J99" s="288"/>
      <c r="K99" s="288"/>
    </row>
    <row r="100" spans="3:11">
      <c r="C100" s="288"/>
      <c r="D100" s="288"/>
      <c r="E100" s="288"/>
      <c r="G100" s="288"/>
      <c r="I100" s="288"/>
      <c r="J100" s="288"/>
      <c r="K100" s="288"/>
    </row>
    <row r="101" spans="3:11">
      <c r="C101" s="288"/>
      <c r="D101" s="288"/>
      <c r="E101" s="288"/>
      <c r="G101" s="288"/>
      <c r="I101" s="288"/>
      <c r="J101" s="288"/>
      <c r="K101" s="288"/>
    </row>
    <row r="102" spans="3:11">
      <c r="C102" s="288"/>
      <c r="D102" s="288"/>
      <c r="E102" s="288"/>
      <c r="G102" s="288"/>
      <c r="I102" s="288"/>
      <c r="J102" s="288"/>
      <c r="K102" s="288"/>
    </row>
    <row r="103" spans="3:11">
      <c r="C103" s="288"/>
      <c r="D103" s="288"/>
      <c r="E103" s="288"/>
      <c r="G103" s="288"/>
      <c r="I103" s="288"/>
      <c r="J103" s="288"/>
      <c r="K103" s="288"/>
    </row>
    <row r="104" spans="3:11">
      <c r="C104" s="288"/>
      <c r="D104" s="288"/>
      <c r="E104" s="288"/>
      <c r="G104" s="288"/>
      <c r="I104" s="288"/>
      <c r="J104" s="288"/>
      <c r="K104" s="288"/>
    </row>
    <row r="105" spans="3:11">
      <c r="C105" s="288"/>
      <c r="D105" s="288"/>
      <c r="E105" s="288"/>
      <c r="G105" s="288"/>
      <c r="I105" s="288"/>
      <c r="J105" s="288"/>
      <c r="K105" s="288"/>
    </row>
    <row r="106" spans="3:11">
      <c r="C106" s="288"/>
      <c r="D106" s="288"/>
      <c r="E106" s="288"/>
      <c r="G106" s="288"/>
      <c r="I106" s="288"/>
      <c r="J106" s="288"/>
      <c r="K106" s="288"/>
    </row>
    <row r="107" spans="3:11">
      <c r="C107" s="288"/>
      <c r="D107" s="288"/>
      <c r="E107" s="288"/>
      <c r="G107" s="288"/>
      <c r="I107" s="288"/>
      <c r="J107" s="288"/>
      <c r="K107" s="288"/>
    </row>
    <row r="108" spans="3:11">
      <c r="C108" s="288"/>
      <c r="D108" s="288"/>
      <c r="E108" s="288"/>
      <c r="G108" s="288"/>
      <c r="I108" s="288"/>
      <c r="J108" s="288"/>
      <c r="K108" s="288"/>
    </row>
    <row r="109" spans="3:11">
      <c r="C109" s="288"/>
      <c r="D109" s="288"/>
      <c r="E109" s="288"/>
      <c r="G109" s="288"/>
      <c r="I109" s="288"/>
      <c r="J109" s="288"/>
      <c r="K109" s="288"/>
    </row>
    <row r="110" spans="3:11">
      <c r="C110" s="288"/>
      <c r="D110" s="288"/>
      <c r="E110" s="288"/>
      <c r="G110" s="288"/>
      <c r="I110" s="288"/>
      <c r="J110" s="288"/>
      <c r="K110" s="288"/>
    </row>
    <row r="111" spans="3:11">
      <c r="C111" s="288"/>
      <c r="D111" s="288"/>
      <c r="E111" s="288"/>
      <c r="G111" s="288"/>
      <c r="I111" s="288"/>
      <c r="J111" s="288"/>
      <c r="K111" s="288"/>
    </row>
    <row r="112" spans="3:11">
      <c r="C112" s="288"/>
      <c r="D112" s="288"/>
      <c r="E112" s="288"/>
      <c r="G112" s="288"/>
      <c r="I112" s="288"/>
      <c r="J112" s="288"/>
      <c r="K112" s="288"/>
    </row>
    <row r="113" spans="3:11">
      <c r="C113" s="288"/>
      <c r="D113" s="288"/>
      <c r="E113" s="288"/>
      <c r="G113" s="288"/>
      <c r="I113" s="288"/>
      <c r="J113" s="288"/>
      <c r="K113" s="288"/>
    </row>
    <row r="114" spans="3:11">
      <c r="C114" s="288"/>
      <c r="D114" s="288"/>
      <c r="E114" s="288"/>
      <c r="G114" s="288"/>
      <c r="I114" s="288"/>
      <c r="J114" s="288"/>
      <c r="K114" s="288"/>
    </row>
    <row r="115" spans="3:11">
      <c r="C115" s="288"/>
      <c r="D115" s="288"/>
      <c r="E115" s="288"/>
      <c r="G115" s="288"/>
      <c r="I115" s="288"/>
      <c r="J115" s="288"/>
      <c r="K115" s="288"/>
    </row>
    <row r="116" spans="3:11">
      <c r="C116" s="288"/>
      <c r="D116" s="288"/>
      <c r="E116" s="288"/>
      <c r="G116" s="288"/>
      <c r="I116" s="288"/>
      <c r="J116" s="288"/>
      <c r="K116" s="288"/>
    </row>
  </sheetData>
  <mergeCells count="13">
    <mergeCell ref="E24:G24"/>
    <mergeCell ref="F1:J3"/>
    <mergeCell ref="B24:B29"/>
    <mergeCell ref="C7:C9"/>
    <mergeCell ref="E7:G7"/>
    <mergeCell ref="D7:D9"/>
    <mergeCell ref="E8:G8"/>
    <mergeCell ref="B10:B22"/>
    <mergeCell ref="C24:C26"/>
    <mergeCell ref="D24:D26"/>
    <mergeCell ref="E25:G25"/>
    <mergeCell ref="I7:J8"/>
    <mergeCell ref="I28:J28"/>
  </mergeCells>
  <pageMargins left="0.7" right="0.7" top="0.75" bottom="0.75" header="0.3" footer="0.3"/>
  <pageSetup paperSize="256"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pageSetUpPr fitToPage="1"/>
  </sheetPr>
  <dimension ref="A1:R39"/>
  <sheetViews>
    <sheetView zoomScaleNormal="100" workbookViewId="0">
      <pane ySplit="4" topLeftCell="A5" activePane="bottomLeft" state="frozen"/>
      <selection pane="bottomLeft"/>
    </sheetView>
  </sheetViews>
  <sheetFormatPr defaultColWidth="25" defaultRowHeight="12.75"/>
  <cols>
    <col min="1" max="1" width="5.5703125" style="2" customWidth="1"/>
    <col min="2" max="2" width="28.42578125" style="2" customWidth="1"/>
    <col min="3" max="3" width="20" style="2" customWidth="1"/>
    <col min="4" max="4" width="20" style="244" customWidth="1"/>
    <col min="5" max="9" width="20" style="2" customWidth="1"/>
    <col min="10" max="10" width="14.42578125" style="2" customWidth="1"/>
    <col min="11" max="16384" width="25" style="2"/>
  </cols>
  <sheetData>
    <row r="1" spans="1:9" ht="12.75" customHeight="1">
      <c r="A1" s="288"/>
      <c r="B1" s="288"/>
      <c r="D1" s="290"/>
      <c r="E1" s="726" t="str">
        <f>IF('Język - Language'!$B$30="Polski",CONCATENATE("Cennik Reklamowy Wirtualna Polska Media S.A. - obowiązuje od 1.11.2019 r.",CHAR(10),"W celu zasięgnięcia dodatkowych informacji prosimy o kontakt z Biurem Reklamy,",CHAR(10),"reklama@grupawp.pl, tel. (+48) 22 57 63 900; fax (+48) 22 57 63 959"),CONCATENATE("Advertising price list of Wirtualna Polska Media S.A. - valid from November 1, 2019",CHAR(10),"For further information please contact the Advertising Office of WP,",CHAR(10),"reklama@grupawp.pl, phone (+48) 22 57 63 900; fax (+48) 22 57 63 959"))</f>
        <v>Cennik Reklamowy Wirtualna Polska Media S.A. - obowiązuje od 1.11.2019 r.
W celu zasięgnięcia dodatkowych informacji prosimy o kontakt z Biurem Reklamy,
reklama@grupawp.pl, tel. (+48) 22 57 63 900; fax (+48) 22 57 63 959</v>
      </c>
      <c r="F1" s="726"/>
      <c r="G1" s="726"/>
      <c r="H1" s="726"/>
    </row>
    <row r="2" spans="1:9" ht="12.75" customHeight="1">
      <c r="A2" s="288"/>
      <c r="B2" s="288"/>
      <c r="C2" s="290"/>
      <c r="D2" s="290"/>
      <c r="E2" s="726"/>
      <c r="F2" s="726"/>
      <c r="G2" s="726"/>
      <c r="H2" s="726"/>
    </row>
    <row r="3" spans="1:9" ht="12.75" customHeight="1">
      <c r="A3" s="288"/>
      <c r="B3" s="288"/>
      <c r="C3" s="290"/>
      <c r="D3" s="290"/>
      <c r="E3" s="726"/>
      <c r="F3" s="726"/>
      <c r="G3" s="726"/>
      <c r="H3" s="726"/>
    </row>
    <row r="4" spans="1:9" s="34" customFormat="1" ht="12.75" customHeight="1">
      <c r="A4" s="291"/>
      <c r="B4" s="35" t="str">
        <f>IF('Język - Language'!$B$30="Polski","            Poczta - Mailing reklamowy, emisje stałe","            Email service - Advertising mailing, flat fee emissions")</f>
        <v xml:space="preserve">            Poczta - Mailing reklamowy, emisje stałe</v>
      </c>
      <c r="C4" s="291"/>
      <c r="D4" s="291"/>
      <c r="E4" s="291"/>
      <c r="F4" s="291"/>
      <c r="G4" s="490"/>
      <c r="H4" s="285" t="str">
        <f>IF('Język - Language'!$B$30="Polski","PL","EN")</f>
        <v>PL</v>
      </c>
    </row>
    <row r="5" spans="1:9" ht="12.75" customHeight="1">
      <c r="A5" s="288"/>
      <c r="B5" s="288"/>
      <c r="C5" s="288"/>
      <c r="D5" s="288"/>
      <c r="E5" s="288"/>
      <c r="F5" s="288"/>
      <c r="G5" s="288"/>
      <c r="H5" s="288"/>
    </row>
    <row r="6" spans="1:9" ht="12.75" customHeight="1">
      <c r="A6" s="288"/>
      <c r="B6" s="286"/>
      <c r="C6" s="286"/>
      <c r="D6" s="286"/>
      <c r="E6" s="286"/>
      <c r="F6" s="286"/>
      <c r="G6" s="286"/>
      <c r="H6" s="288"/>
    </row>
    <row r="7" spans="1:9" ht="12.75" customHeight="1">
      <c r="A7" s="286"/>
      <c r="B7" s="1025" t="str">
        <f>IF('Język - Language'!$B$30="Polski","MIEJSCE EMISJI","PLACE OF EMISSION")</f>
        <v>MIEJSCE EMISJI</v>
      </c>
      <c r="C7" s="766" t="str">
        <f>IF('Język - Language'!$B$30="Polski","FORMAT GRAFICZNY","ADVERTISING FORMAT
")</f>
        <v>FORMAT GRAFICZNY</v>
      </c>
      <c r="D7" s="319"/>
      <c r="E7" s="1099" t="s">
        <v>56</v>
      </c>
      <c r="F7" s="1099"/>
      <c r="G7" s="1099" t="s">
        <v>57</v>
      </c>
      <c r="H7" s="1100"/>
      <c r="I7" s="288"/>
    </row>
    <row r="8" spans="1:9" ht="12.75" customHeight="1">
      <c r="A8" s="286"/>
      <c r="B8" s="1025"/>
      <c r="C8" s="766"/>
      <c r="D8" s="319"/>
      <c r="E8" s="339" t="str">
        <f>IF('Język - Language'!$B$30="Polski","DZIEŃ","DAY")</f>
        <v>DZIEŃ</v>
      </c>
      <c r="F8" s="319" t="str">
        <f>IF('Język - Language'!$B$30="Polski","TYDZIEŃ","WEEK")</f>
        <v>TYDZIEŃ</v>
      </c>
      <c r="G8" s="387" t="s">
        <v>127</v>
      </c>
      <c r="H8" s="340" t="str">
        <f>IF('Język - Language'!$B$30="Polski","TYDZIEŃ","WEEK")</f>
        <v>TYDZIEŃ</v>
      </c>
      <c r="I8" s="52"/>
    </row>
    <row r="9" spans="1:9" ht="12.75" customHeight="1">
      <c r="A9" s="288"/>
      <c r="B9" s="925" t="str">
        <f>IF('Język - Language'!$B$30="Polski","Strona logowania Poczty","Logging in")</f>
        <v>Strona logowania Poczty</v>
      </c>
      <c r="C9" s="793" t="str">
        <f>IF('Język - Language'!$B$30="Polski","Login Box","Login Box")</f>
        <v>Login Box</v>
      </c>
      <c r="D9" s="795"/>
      <c r="E9" s="294" t="s">
        <v>58</v>
      </c>
      <c r="F9" s="294">
        <v>350000</v>
      </c>
      <c r="G9" s="294" t="s">
        <v>58</v>
      </c>
      <c r="H9" s="221">
        <v>100000</v>
      </c>
      <c r="I9" s="288"/>
    </row>
    <row r="10" spans="1:9" s="50" customFormat="1" ht="12.75" customHeight="1">
      <c r="A10" s="288"/>
      <c r="B10" s="925"/>
      <c r="C10" s="743" t="str">
        <f>IF('Język - Language'!$B$30="Polski","Full Page Login Box","Full Page Login Box")</f>
        <v>Full Page Login Box</v>
      </c>
      <c r="D10" s="745"/>
      <c r="E10" s="222" t="s">
        <v>58</v>
      </c>
      <c r="F10" s="223">
        <v>615000</v>
      </c>
      <c r="G10" s="223" t="s">
        <v>58</v>
      </c>
      <c r="H10" s="224">
        <v>150000</v>
      </c>
      <c r="I10" s="288"/>
    </row>
    <row r="11" spans="1:9" s="50" customFormat="1" ht="12.75" customHeight="1">
      <c r="A11" s="288"/>
      <c r="B11" s="925"/>
      <c r="C11" s="743" t="str">
        <f>IF('Język - Language'!$B$30="Polski","Mobile Login Box","Mobile Login Box")</f>
        <v>Mobile Login Box</v>
      </c>
      <c r="D11" s="745"/>
      <c r="E11" s="222" t="s">
        <v>58</v>
      </c>
      <c r="F11" s="294">
        <v>240000</v>
      </c>
      <c r="G11" s="294" t="s">
        <v>58</v>
      </c>
      <c r="H11" s="184">
        <v>70000</v>
      </c>
      <c r="I11" s="288"/>
    </row>
    <row r="12" spans="1:9" s="50" customFormat="1" ht="12.75" customHeight="1">
      <c r="A12" s="288"/>
      <c r="B12" s="925"/>
      <c r="C12" s="743" t="str">
        <f>IF('Język - Language'!$B$30="Polski","Login Corner + Login Box","Login Corner + Login Box")</f>
        <v>Login Corner + Login Box</v>
      </c>
      <c r="D12" s="745"/>
      <c r="E12" s="222" t="s">
        <v>58</v>
      </c>
      <c r="F12" s="222" t="s">
        <v>58</v>
      </c>
      <c r="G12" s="222" t="s">
        <v>58</v>
      </c>
      <c r="H12" s="184">
        <v>165000</v>
      </c>
      <c r="I12" s="288"/>
    </row>
    <row r="13" spans="1:9" s="50" customFormat="1" ht="12.75" customHeight="1">
      <c r="A13" s="288"/>
      <c r="B13" s="925"/>
      <c r="C13" s="743" t="str">
        <f>IF('Język - Language'!$B$30="Polski","Login Corner + Full Page Login Box","Login Corner + Full Page Login Box")</f>
        <v>Login Corner + Full Page Login Box</v>
      </c>
      <c r="D13" s="745"/>
      <c r="E13" s="222" t="s">
        <v>58</v>
      </c>
      <c r="F13" s="222" t="s">
        <v>58</v>
      </c>
      <c r="G13" s="223" t="s">
        <v>58</v>
      </c>
      <c r="H13" s="184">
        <v>230000</v>
      </c>
      <c r="I13" s="288"/>
    </row>
    <row r="14" spans="1:9" ht="12.75" customHeight="1">
      <c r="A14" s="288"/>
      <c r="B14" s="925"/>
      <c r="C14" s="1094" t="str">
        <f>IF('Język - Language'!$B$30="Polski","Login Corner + Full Page Login Box (desktop + mobile)","Login Corner + Full Page Login Box (desktop + mobile)")</f>
        <v>Login Corner + Full Page Login Box (desktop + mobile)</v>
      </c>
      <c r="D14" s="1095"/>
      <c r="E14" s="225" t="s">
        <v>58</v>
      </c>
      <c r="F14" s="226" t="s">
        <v>58</v>
      </c>
      <c r="G14" s="227" t="s">
        <v>58</v>
      </c>
      <c r="H14" s="227">
        <v>265000</v>
      </c>
      <c r="I14" s="288"/>
    </row>
    <row r="15" spans="1:9" s="244" customFormat="1" ht="12.75" customHeight="1">
      <c r="A15" s="288"/>
      <c r="B15" s="926"/>
      <c r="C15" s="1092" t="str">
        <f>IF('Język - Language'!$B$30="Polski","Login Box Poczta O2 + Login Corner SG O2","Login Box in Email Service O2 + Login Corner O2 HP")</f>
        <v>Login Box Poczta O2 + Login Corner SG O2</v>
      </c>
      <c r="D15" s="1093"/>
      <c r="E15" s="230" t="s">
        <v>58</v>
      </c>
      <c r="F15" s="284" t="s">
        <v>58</v>
      </c>
      <c r="G15" s="284" t="s">
        <v>58</v>
      </c>
      <c r="H15" s="284">
        <v>165000</v>
      </c>
      <c r="I15" s="288"/>
    </row>
    <row r="16" spans="1:9" s="288" customFormat="1" ht="12.75" customHeight="1">
      <c r="B16" s="945" t="str">
        <f>IF('Język - Language'!$B$30="Polski","Interfejs Poczty","Email service interface")</f>
        <v>Interfejs Poczty</v>
      </c>
      <c r="C16" s="1096" t="s">
        <v>213</v>
      </c>
      <c r="D16" s="536" t="s">
        <v>125</v>
      </c>
      <c r="E16" s="413" t="s">
        <v>58</v>
      </c>
      <c r="F16" s="535">
        <v>190000</v>
      </c>
      <c r="G16" s="535" t="s">
        <v>58</v>
      </c>
      <c r="H16" s="1097">
        <v>80000</v>
      </c>
    </row>
    <row r="17" spans="1:18" s="288" customFormat="1" ht="12.75" customHeight="1">
      <c r="B17" s="925"/>
      <c r="C17" s="732"/>
      <c r="D17" s="537" t="s">
        <v>126</v>
      </c>
      <c r="E17" s="228" t="s">
        <v>58</v>
      </c>
      <c r="F17" s="183">
        <v>215000</v>
      </c>
      <c r="G17" s="183" t="s">
        <v>58</v>
      </c>
      <c r="H17" s="1098"/>
    </row>
    <row r="18" spans="1:18" s="54" customFormat="1" ht="12.75" customHeight="1">
      <c r="A18" s="288"/>
      <c r="B18" s="925"/>
      <c r="C18" s="793" t="str">
        <f>IF('Język - Language'!$B$30="Polski","Double Billboard¹","Double Billboard¹")</f>
        <v>Double Billboard¹</v>
      </c>
      <c r="D18" s="795"/>
      <c r="E18" s="221">
        <v>90000</v>
      </c>
      <c r="F18" s="294">
        <v>300000</v>
      </c>
      <c r="G18" s="294" t="s">
        <v>58</v>
      </c>
      <c r="H18" s="294">
        <v>75000</v>
      </c>
      <c r="I18" s="288"/>
    </row>
    <row r="19" spans="1:18" s="54" customFormat="1" ht="12.75" customHeight="1">
      <c r="A19" s="288"/>
      <c r="B19" s="925"/>
      <c r="C19" s="1086" t="str">
        <f>IF('Język - Language'!$B$30="Polski","Panel Premium (desktop + mobile)","Panel Premium (desktop + mobile)")</f>
        <v>Panel Premium (desktop + mobile)</v>
      </c>
      <c r="D19" s="1087"/>
      <c r="E19" s="226">
        <v>150000</v>
      </c>
      <c r="F19" s="225" t="s">
        <v>58</v>
      </c>
      <c r="G19" s="225">
        <v>35000</v>
      </c>
      <c r="H19" s="225" t="s">
        <v>58</v>
      </c>
      <c r="I19" s="288"/>
      <c r="J19" s="288"/>
      <c r="K19" s="288"/>
      <c r="L19" s="288"/>
      <c r="M19" s="288"/>
      <c r="N19" s="288"/>
      <c r="O19" s="288"/>
      <c r="P19" s="288"/>
      <c r="Q19" s="288"/>
      <c r="R19" s="288"/>
    </row>
    <row r="20" spans="1:18" s="49" customFormat="1" ht="12.75" customHeight="1">
      <c r="A20" s="288"/>
      <c r="B20" s="925"/>
      <c r="C20" s="1088" t="str">
        <f>IF('Język - Language'!$B$30="Polski","Left Box 170x200 (górny)","Left Box 170x200 (upper)")</f>
        <v>Left Box 170x200 (górny)</v>
      </c>
      <c r="D20" s="1089"/>
      <c r="E20" s="221" t="s">
        <v>58</v>
      </c>
      <c r="F20" s="228">
        <v>115000</v>
      </c>
      <c r="G20" s="394" t="s">
        <v>58</v>
      </c>
      <c r="H20" s="294">
        <v>90000</v>
      </c>
      <c r="I20" s="288"/>
      <c r="J20" s="288"/>
      <c r="K20" s="288"/>
      <c r="L20" s="288"/>
      <c r="M20" s="288"/>
      <c r="N20" s="288"/>
      <c r="O20" s="288"/>
      <c r="P20" s="288"/>
      <c r="Q20" s="288"/>
      <c r="R20" s="288"/>
    </row>
    <row r="21" spans="1:18" s="49" customFormat="1" ht="12.75" customHeight="1">
      <c r="A21" s="288"/>
      <c r="B21" s="925"/>
      <c r="C21" s="743" t="str">
        <f>IF('Język - Language'!$B$30="Polski","Left Box 170x200 (dolny)","Left Box 170x200 (lower)")</f>
        <v>Left Box 170x200 (dolny)</v>
      </c>
      <c r="D21" s="745"/>
      <c r="E21" s="224" t="s">
        <v>58</v>
      </c>
      <c r="F21" s="294">
        <v>115000</v>
      </c>
      <c r="G21" s="294" t="s">
        <v>58</v>
      </c>
      <c r="H21" s="222">
        <v>90000</v>
      </c>
      <c r="I21" s="288"/>
      <c r="J21" s="288"/>
      <c r="K21" s="288"/>
      <c r="L21" s="288"/>
      <c r="M21" s="288"/>
      <c r="N21" s="288"/>
      <c r="O21" s="288"/>
      <c r="P21" s="288"/>
      <c r="Q21" s="288"/>
      <c r="R21" s="288"/>
    </row>
    <row r="22" spans="1:18" ht="12.75" customHeight="1">
      <c r="A22" s="288"/>
      <c r="B22" s="925"/>
      <c r="C22" s="743" t="s">
        <v>168</v>
      </c>
      <c r="D22" s="745"/>
      <c r="E22" s="223" t="s">
        <v>58</v>
      </c>
      <c r="F22" s="223">
        <v>300000</v>
      </c>
      <c r="G22" s="223" t="s">
        <v>58</v>
      </c>
      <c r="H22" s="223">
        <v>60000</v>
      </c>
      <c r="I22" s="288"/>
      <c r="J22" s="288"/>
      <c r="K22" s="288"/>
      <c r="L22" s="288"/>
      <c r="M22" s="288"/>
      <c r="N22" s="288"/>
      <c r="O22" s="288"/>
      <c r="P22" s="288"/>
      <c r="Q22" s="288"/>
      <c r="R22" s="288"/>
    </row>
    <row r="23" spans="1:18" s="79" customFormat="1" ht="12.75" customHeight="1">
      <c r="A23" s="288"/>
      <c r="B23" s="925"/>
      <c r="C23" s="743" t="s">
        <v>167</v>
      </c>
      <c r="D23" s="745"/>
      <c r="E23" s="223" t="s">
        <v>58</v>
      </c>
      <c r="F23" s="223">
        <v>400000</v>
      </c>
      <c r="G23" s="223" t="s">
        <v>58</v>
      </c>
      <c r="H23" s="223">
        <v>130000</v>
      </c>
      <c r="I23" s="288"/>
      <c r="J23" s="288"/>
      <c r="K23" s="288"/>
      <c r="L23" s="288"/>
      <c r="M23" s="288"/>
      <c r="N23" s="288"/>
      <c r="O23" s="288"/>
      <c r="P23" s="288"/>
      <c r="Q23" s="288"/>
      <c r="R23" s="288"/>
    </row>
    <row r="24" spans="1:18" s="46" customFormat="1" ht="12.75" customHeight="1">
      <c r="A24" s="288"/>
      <c r="B24" s="926"/>
      <c r="C24" s="1086" t="str">
        <f>IF('Język - Language'!$B$30="Polski","Rectangle (podgląd załączników)","Rectangle (in a preview of attachments)")</f>
        <v>Rectangle (podgląd załączników)</v>
      </c>
      <c r="D24" s="1087"/>
      <c r="E24" s="229" t="s">
        <v>58</v>
      </c>
      <c r="F24" s="229">
        <v>75000</v>
      </c>
      <c r="G24" s="229" t="s">
        <v>58</v>
      </c>
      <c r="H24" s="229">
        <v>40000</v>
      </c>
      <c r="I24" s="288"/>
      <c r="J24" s="288"/>
      <c r="K24" s="288"/>
      <c r="L24" s="288"/>
      <c r="M24" s="288"/>
      <c r="N24" s="288"/>
      <c r="O24" s="288"/>
      <c r="P24" s="288"/>
      <c r="Q24" s="288"/>
      <c r="R24" s="288"/>
    </row>
    <row r="25" spans="1:18" s="79" customFormat="1" ht="12.75" customHeight="1">
      <c r="A25" s="288"/>
      <c r="B25" s="198" t="str">
        <f>IF('Język - Language'!$B$30="Polski","Po wylogowaniu z Poczty","After logging out")</f>
        <v>Po wylogowaniu z Poczty</v>
      </c>
      <c r="C25" s="1090" t="s">
        <v>169</v>
      </c>
      <c r="D25" s="1091"/>
      <c r="E25" s="230" t="s">
        <v>58</v>
      </c>
      <c r="F25" s="230">
        <v>425000</v>
      </c>
      <c r="G25" s="230" t="s">
        <v>58</v>
      </c>
      <c r="H25" s="230">
        <v>200000</v>
      </c>
      <c r="I25" s="288"/>
      <c r="J25" s="288"/>
      <c r="K25" s="288"/>
      <c r="L25" s="288"/>
      <c r="M25" s="288"/>
      <c r="N25" s="288"/>
      <c r="O25" s="288"/>
      <c r="P25" s="288"/>
      <c r="Q25" s="288"/>
      <c r="R25" s="288"/>
    </row>
    <row r="26" spans="1:18" ht="12.75" customHeight="1">
      <c r="A26" s="288"/>
      <c r="B26" s="242" t="str">
        <f>IF('Język - Language'!$B$30="Polski","¹ możliwość emisji formatu 970x200, również jako Retail Dniówka, zgodnie z tabelą dopłat","¹ special Retail Daily Emission is available for 970x200 format with extra charge")</f>
        <v>¹ możliwość emisji formatu 970x200, również jako Retail Dniówka, zgodnie z tabelą dopłat</v>
      </c>
      <c r="C26" s="4"/>
      <c r="D26" s="4"/>
      <c r="E26" s="4"/>
      <c r="F26" s="4"/>
      <c r="G26" s="4"/>
      <c r="H26" s="80"/>
      <c r="I26" s="288"/>
      <c r="J26" s="288"/>
      <c r="K26" s="288"/>
      <c r="L26" s="288"/>
      <c r="M26" s="288"/>
      <c r="N26" s="288"/>
      <c r="O26" s="288"/>
      <c r="P26" s="288"/>
      <c r="Q26" s="288"/>
    </row>
    <row r="27" spans="1:18">
      <c r="A27" s="288"/>
      <c r="B27" s="51"/>
      <c r="C27" s="27"/>
      <c r="D27" s="27"/>
      <c r="E27" s="288"/>
      <c r="F27" s="288"/>
      <c r="G27" s="288"/>
      <c r="H27" s="80"/>
      <c r="I27" s="4"/>
      <c r="J27" s="288"/>
      <c r="K27" s="288"/>
      <c r="L27" s="288"/>
      <c r="M27" s="288"/>
      <c r="N27" s="288"/>
      <c r="O27" s="288"/>
      <c r="P27" s="288"/>
      <c r="Q27" s="288"/>
    </row>
    <row r="28" spans="1:18">
      <c r="A28" s="288"/>
      <c r="B28" s="288"/>
      <c r="C28" s="288"/>
      <c r="D28" s="288"/>
      <c r="E28" s="288"/>
      <c r="F28" s="21"/>
      <c r="G28" s="288"/>
      <c r="H28" s="288"/>
      <c r="I28" s="288"/>
      <c r="J28" s="288"/>
      <c r="K28" s="288"/>
      <c r="L28" s="288"/>
      <c r="M28" s="288"/>
      <c r="N28" s="288"/>
      <c r="O28" s="288"/>
      <c r="P28" s="288"/>
      <c r="Q28" s="288"/>
    </row>
    <row r="29" spans="1:18" ht="25.5" customHeight="1">
      <c r="A29" s="286"/>
      <c r="B29" s="357" t="s">
        <v>28</v>
      </c>
      <c r="C29" s="319" t="s">
        <v>59</v>
      </c>
      <c r="D29" s="321" t="s">
        <v>60</v>
      </c>
      <c r="E29" s="98"/>
      <c r="F29" s="727"/>
      <c r="G29" s="727"/>
      <c r="H29" s="727"/>
      <c r="I29" s="727"/>
      <c r="J29" s="288"/>
      <c r="K29" s="718"/>
      <c r="L29" s="718"/>
      <c r="M29" s="718"/>
      <c r="N29" s="718"/>
      <c r="O29" s="718"/>
      <c r="P29" s="718"/>
      <c r="Q29" s="288"/>
    </row>
    <row r="30" spans="1:18" ht="25.5" customHeight="1">
      <c r="A30" s="288"/>
      <c r="B30" s="191" t="str">
        <f>IF('Język - Language'!$B$30="Polski","Mailing HTML 100 kB","Mailing HTML 100 kB")</f>
        <v>Mailing HTML 100 kB</v>
      </c>
      <c r="C30" s="276">
        <v>80</v>
      </c>
      <c r="D30" s="281">
        <v>88</v>
      </c>
      <c r="E30" s="352"/>
      <c r="F30" s="728"/>
      <c r="G30" s="728"/>
      <c r="H30" s="728"/>
      <c r="I30" s="728"/>
      <c r="J30" s="286"/>
      <c r="K30" s="312"/>
      <c r="L30" s="720"/>
      <c r="M30" s="720"/>
      <c r="N30" s="720"/>
      <c r="O30" s="720"/>
      <c r="P30" s="720"/>
      <c r="Q30" s="288"/>
    </row>
    <row r="31" spans="1:18" ht="25.5" customHeight="1">
      <c r="A31" s="288"/>
      <c r="B31" s="192" t="str">
        <f>IF('Język - Language'!$B$30="Polski","Mailing interaktywny²","Interactive Mailing²")</f>
        <v>Mailing interaktywny²</v>
      </c>
      <c r="C31" s="337">
        <v>160</v>
      </c>
      <c r="D31" s="282">
        <v>176</v>
      </c>
      <c r="E31" s="311"/>
      <c r="F31" s="61"/>
      <c r="G31" s="62"/>
      <c r="H31" s="63"/>
      <c r="I31" s="63"/>
      <c r="J31" s="286"/>
      <c r="K31" s="83"/>
      <c r="L31" s="722"/>
      <c r="M31" s="722"/>
      <c r="N31" s="722"/>
      <c r="O31" s="722"/>
      <c r="P31" s="722"/>
      <c r="Q31" s="288"/>
    </row>
    <row r="32" spans="1:18" ht="25.5" customHeight="1">
      <c r="A32" s="288"/>
      <c r="B32" s="1080" t="str">
        <f>IF('Język - Language'!$B$30="Polski",CONCATENATE("¹ Mailing jest dostarczany do użytkownika w momencie, gdy po raz pierwszy odbiera on pocztę ze swojej skrzynki, w okresie ważności mailingu. Mailing może być kierowany do konkretnej grupy odbiorców poprzez mechanizm targetowania."," Czas oczekiwania wysłanych listów na pobranie z serwera pocztowego wynosi standardowo 28 dni (w razie konieczności wcześniejszego przerwania mailingu prosimy o zawarcie tego w zamówieniu)."),CONCATENATE("¹ Mailing advertisements are delivered to users when they receive e-mail from their inbox during the effective period of the mailing service. Mailing advertisements may be aimed at a specific group of recipients by a targeting mechanism."," The waiting time for downloading the sent e-mails from the e-mail server as a standard is 28 days (in case of earlier termination of the mailing service, please include such information in the order)."))</f>
        <v>¹ Mailing jest dostarczany do użytkownika w momencie, gdy po raz pierwszy odbiera on pocztę ze swojej skrzynki, w okresie ważności mailingu. Mailing może być kierowany do konkretnej grupy odbiorców poprzez mechanizm targetowania. Czas oczekiwania wysłanych listów na pobranie z serwera pocztowego wynosi standardowo 28 dni (w razie konieczności wcześniejszego przerwania mailingu prosimy o zawarcie tego w zamówieniu).</v>
      </c>
      <c r="C32" s="1080"/>
      <c r="D32" s="1080"/>
      <c r="E32" s="1080"/>
      <c r="F32" s="1080"/>
      <c r="G32" s="1080"/>
      <c r="H32" s="1080"/>
      <c r="I32" s="1080"/>
      <c r="J32" s="63"/>
      <c r="K32" s="286"/>
      <c r="L32" s="83"/>
      <c r="M32" s="722"/>
      <c r="N32" s="722"/>
      <c r="O32" s="722"/>
      <c r="P32" s="722"/>
      <c r="Q32" s="722"/>
    </row>
    <row r="33" spans="1:17" ht="12.75" customHeight="1">
      <c r="A33" s="288"/>
      <c r="B33" s="1080" t="str">
        <f>IF('Język - Language'!$B$30="Polski","² Minimalna wartość zamówienia to 5 000 zł NN","² Minimal order - 5 000 zł NN")</f>
        <v>² Minimalna wartość zamówienia to 5 000 zł NN</v>
      </c>
      <c r="C33" s="1080"/>
      <c r="D33" s="1080"/>
      <c r="E33" s="1080"/>
      <c r="F33" s="1080"/>
      <c r="G33" s="1080"/>
      <c r="H33" s="1080"/>
      <c r="I33" s="1080"/>
      <c r="J33" s="63"/>
      <c r="K33" s="286"/>
      <c r="L33" s="84"/>
      <c r="M33" s="725"/>
      <c r="N33" s="725"/>
      <c r="O33" s="725"/>
      <c r="P33" s="725"/>
      <c r="Q33" s="725"/>
    </row>
    <row r="34" spans="1:17" s="117" customFormat="1" ht="12.75" customHeight="1">
      <c r="A34" s="288"/>
      <c r="B34" s="315"/>
      <c r="C34" s="315"/>
      <c r="D34" s="315"/>
      <c r="E34" s="315"/>
      <c r="F34" s="315"/>
      <c r="G34" s="315"/>
      <c r="H34" s="315"/>
      <c r="I34" s="315"/>
      <c r="J34" s="63"/>
      <c r="K34" s="286"/>
      <c r="L34" s="84"/>
      <c r="M34" s="316"/>
      <c r="N34" s="316"/>
      <c r="O34" s="316"/>
      <c r="P34" s="316"/>
      <c r="Q34" s="316"/>
    </row>
    <row r="35" spans="1:17" s="117" customFormat="1" ht="12.75" customHeight="1">
      <c r="A35" s="286"/>
      <c r="B35" s="189"/>
      <c r="C35" s="189"/>
      <c r="D35" s="189"/>
      <c r="E35" s="189"/>
      <c r="F35" s="82"/>
      <c r="G35" s="43"/>
      <c r="H35" s="44"/>
      <c r="I35" s="45"/>
      <c r="J35" s="45"/>
      <c r="K35" s="286"/>
      <c r="L35" s="84"/>
      <c r="M35" s="316"/>
      <c r="N35" s="316"/>
      <c r="O35" s="316"/>
      <c r="P35" s="316"/>
      <c r="Q35" s="316"/>
    </row>
    <row r="36" spans="1:17" ht="25.5" customHeight="1">
      <c r="A36" s="286"/>
      <c r="B36" s="195"/>
      <c r="C36" s="799" t="str">
        <f>IF('Język - Language'!$B$30="Polski","LICZBA WSZYSTKICH REKORDÓW","NUMBER OF RECORDS")</f>
        <v>LICZBA WSZYSTKICH REKORDÓW</v>
      </c>
      <c r="D36" s="801"/>
      <c r="E36" s="195" t="str">
        <f>IF('Język - Language'!$B$30="Polski","CENY CPM BEZ TARGETOWANIA","CPM, NO TARGETS")</f>
        <v>CENY CPM BEZ TARGETOWANIA</v>
      </c>
      <c r="F36" s="41"/>
      <c r="G36" s="286"/>
      <c r="H36" s="83"/>
      <c r="I36" s="725"/>
      <c r="J36" s="725"/>
      <c r="K36" s="725"/>
      <c r="L36" s="725"/>
      <c r="M36" s="725"/>
    </row>
    <row r="37" spans="1:17" ht="25.5" customHeight="1">
      <c r="A37" s="187"/>
      <c r="B37" s="204" t="str">
        <f>IF('Język - Language'!$B$30="Polski","Money.pl","Money.pl")</f>
        <v>Money.pl</v>
      </c>
      <c r="C37" s="1081">
        <v>282000</v>
      </c>
      <c r="D37" s="1082"/>
      <c r="E37" s="243">
        <v>150</v>
      </c>
      <c r="F37" s="40"/>
      <c r="G37" s="288"/>
      <c r="H37" s="85"/>
      <c r="I37" s="725"/>
      <c r="J37" s="725"/>
      <c r="K37" s="725"/>
      <c r="L37" s="725"/>
      <c r="M37" s="725"/>
    </row>
    <row r="38" spans="1:17" ht="25.5" customHeight="1">
      <c r="A38" s="187"/>
      <c r="B38" s="1083" t="str">
        <f>IF('Język - Language'!$B$30="Polski","TG TOP MANAGEMENT*** max 100 000 kont","TG TOP MANAGEMENT*** max 100 000 email accounts")</f>
        <v>TG TOP MANAGEMENT*** max 100 000 kont</v>
      </c>
      <c r="C38" s="1084"/>
      <c r="D38" s="1084"/>
      <c r="E38" s="1085"/>
      <c r="F38" s="42"/>
      <c r="G38" s="288"/>
      <c r="H38" s="312"/>
      <c r="I38" s="718"/>
      <c r="J38" s="718"/>
      <c r="K38" s="718"/>
      <c r="L38" s="718"/>
      <c r="M38" s="718"/>
    </row>
    <row r="39" spans="1:17" ht="12.75" customHeight="1">
      <c r="A39" s="288"/>
      <c r="B39" s="60"/>
      <c r="C39" s="60"/>
      <c r="D39" s="60"/>
      <c r="E39" s="60"/>
      <c r="F39" s="60"/>
      <c r="G39" s="60"/>
      <c r="H39" s="60"/>
      <c r="I39" s="288"/>
      <c r="J39" s="288"/>
      <c r="K39" s="288"/>
      <c r="L39" s="286"/>
      <c r="M39" s="286"/>
      <c r="N39" s="286"/>
      <c r="O39" s="286"/>
      <c r="P39" s="286"/>
      <c r="Q39" s="286"/>
    </row>
  </sheetData>
  <mergeCells count="41">
    <mergeCell ref="H16:H17"/>
    <mergeCell ref="E1:H3"/>
    <mergeCell ref="G7:H7"/>
    <mergeCell ref="E7:F7"/>
    <mergeCell ref="B7:B8"/>
    <mergeCell ref="C7:C8"/>
    <mergeCell ref="C9:D9"/>
    <mergeCell ref="C10:D10"/>
    <mergeCell ref="C11:D11"/>
    <mergeCell ref="C12:D12"/>
    <mergeCell ref="G29:G30"/>
    <mergeCell ref="C19:D19"/>
    <mergeCell ref="C20:D20"/>
    <mergeCell ref="C25:D25"/>
    <mergeCell ref="B9:B15"/>
    <mergeCell ref="C15:D15"/>
    <mergeCell ref="C13:D13"/>
    <mergeCell ref="C14:D14"/>
    <mergeCell ref="C18:D18"/>
    <mergeCell ref="B16:B24"/>
    <mergeCell ref="C16:C17"/>
    <mergeCell ref="C23:D23"/>
    <mergeCell ref="C21:D21"/>
    <mergeCell ref="C22:D22"/>
    <mergeCell ref="C24:D24"/>
    <mergeCell ref="I38:M38"/>
    <mergeCell ref="K29:P29"/>
    <mergeCell ref="I36:M36"/>
    <mergeCell ref="M33:Q33"/>
    <mergeCell ref="I37:M37"/>
    <mergeCell ref="B33:I33"/>
    <mergeCell ref="L31:P31"/>
    <mergeCell ref="M32:Q32"/>
    <mergeCell ref="B32:I32"/>
    <mergeCell ref="H29:H30"/>
    <mergeCell ref="I29:I30"/>
    <mergeCell ref="C36:D36"/>
    <mergeCell ref="C37:D37"/>
    <mergeCell ref="B38:E38"/>
    <mergeCell ref="L30:P30"/>
    <mergeCell ref="F29:F30"/>
  </mergeCells>
  <pageMargins left="0.7" right="0.7" top="0.75" bottom="0.75" header="0.3" footer="0.3"/>
  <pageSetup paperSize="256" scale="68" fitToHeight="0" orientation="landscape"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52"/>
  <sheetViews>
    <sheetView workbookViewId="0">
      <pane ySplit="4" topLeftCell="A5" activePane="bottomLeft" state="frozen"/>
      <selection pane="bottomLeft"/>
    </sheetView>
  </sheetViews>
  <sheetFormatPr defaultRowHeight="15"/>
  <cols>
    <col min="1" max="2" width="2.85546875" style="524" customWidth="1"/>
    <col min="3" max="3" width="22.28515625" style="524" customWidth="1"/>
    <col min="4" max="9" width="20" style="524" customWidth="1"/>
    <col min="10" max="16384" width="9.140625" style="524"/>
  </cols>
  <sheetData>
    <row r="1" spans="2:12" s="288" customFormat="1" ht="12.75" customHeight="1">
      <c r="B1" s="15" t="s">
        <v>31</v>
      </c>
      <c r="C1" s="15"/>
      <c r="D1" s="15"/>
      <c r="E1" s="15"/>
      <c r="F1" s="726" t="str">
        <f>IF('Język - Language'!$B$30="Polski",CONCATENATE("Cennik Reklamowy Wirtualna Polska Media S.A. - obowiązuje od 1.11.2019 r.",CHAR(10),"W celu zasięgnięcia dodatkowych informacji prosimy o kontakt z Biurem Reklamy,",CHAR(10),"reklama@grupawp.pl, tel. (+48) 22 57 63 900; fax (+48) 22 57 63 959"),CONCATENATE("Advertising price list of Wirtualna Polska Media S.A. - valid from November 1, 2019",CHAR(10),"For further information please contact the Advertising Office of WP,",CHAR(10),"reklama@grupawp.pl, phone (+48) 22 57 63 900; fax (+48) 22 57 63 959"))</f>
        <v>Cennik Reklamowy Wirtualna Polska Media S.A. - obowiązuje od 1.11.2019 r.
W celu zasięgnięcia dodatkowych informacji prosimy o kontakt z Biurem Reklamy,
reklama@grupawp.pl, tel. (+48) 22 57 63 900; fax (+48) 22 57 63 959</v>
      </c>
      <c r="G1" s="726"/>
      <c r="H1" s="726"/>
      <c r="I1" s="726"/>
      <c r="J1" s="290"/>
      <c r="K1" s="76"/>
    </row>
    <row r="2" spans="2:12" s="288" customFormat="1" ht="12.75" customHeight="1">
      <c r="F2" s="726"/>
      <c r="G2" s="726"/>
      <c r="H2" s="726"/>
      <c r="I2" s="726"/>
      <c r="J2" s="290"/>
      <c r="K2" s="76"/>
    </row>
    <row r="3" spans="2:12" s="288" customFormat="1" ht="12.75" customHeight="1">
      <c r="F3" s="726"/>
      <c r="G3" s="726"/>
      <c r="H3" s="726"/>
      <c r="I3" s="726"/>
      <c r="J3" s="290"/>
      <c r="K3" s="76"/>
    </row>
    <row r="4" spans="2:12" s="291" customFormat="1" ht="12.75" customHeight="1">
      <c r="B4" s="103"/>
      <c r="C4" s="103" t="str">
        <f>IF('Język - Language'!$B$30="Polski","            Produkty Content Marketingowe","            Content Marketing")</f>
        <v xml:space="preserve">            Produkty Content Marketingowe</v>
      </c>
      <c r="D4" s="77"/>
      <c r="E4" s="77"/>
      <c r="G4" s="285" t="str">
        <f>IF('Język - Language'!$B$30="Polski","PL","EN")</f>
        <v>PL</v>
      </c>
    </row>
    <row r="5" spans="2:12" ht="12.75" customHeight="1"/>
    <row r="6" spans="2:12" ht="12.75" customHeight="1"/>
    <row r="7" spans="2:12" s="288" customFormat="1" ht="12.75">
      <c r="C7" s="308" t="s">
        <v>103</v>
      </c>
    </row>
    <row r="8" spans="2:12" s="288" customFormat="1" ht="12.75" customHeight="1">
      <c r="B8" s="24"/>
      <c r="C8" s="1025" t="s">
        <v>104</v>
      </c>
      <c r="D8" s="766" t="str">
        <f>IF('Język - Language'!$B$30="Polski","ARTYKUŁ SPONSOROWANY Z GWARANCJĄ","ADVERTORIAL WITH A GUARANTEE")</f>
        <v>ARTYKUŁ SPONSOROWANY Z GWARANCJĄ</v>
      </c>
      <c r="E8" s="766"/>
      <c r="F8" s="766" t="str">
        <f>IF('Język - Language'!$B$30="Polski","ARTYKUŁ SPONSOROWANY","ADVERTORIAL")</f>
        <v>ARTYKUŁ SPONSOROWANY</v>
      </c>
      <c r="G8" s="766"/>
      <c r="H8" s="1107" t="str">
        <f>IF('Język - Language'!$B$30="Polski","ARTYKUŁ SPONSOROWANY LOKALNY","LOCAL ADVERTORIAL")</f>
        <v>ARTYKUŁ SPONSOROWANY LOKALNY</v>
      </c>
      <c r="I8" s="1108"/>
    </row>
    <row r="9" spans="2:12" s="288" customFormat="1" ht="12.75" customHeight="1">
      <c r="B9" s="24"/>
      <c r="C9" s="1025"/>
      <c r="D9" s="766"/>
      <c r="E9" s="766"/>
      <c r="F9" s="766"/>
      <c r="G9" s="766"/>
      <c r="H9" s="1107"/>
      <c r="I9" s="1108"/>
    </row>
    <row r="10" spans="2:12" s="288" customFormat="1" ht="12.75" customHeight="1">
      <c r="B10" s="286"/>
      <c r="C10" s="1025"/>
      <c r="D10" s="766" t="str">
        <f>IF('Język - Language'!$B$30="Polski","Flat Fee 7 dni / net net","Flat Fee 7 days / net net")</f>
        <v>Flat Fee 7 dni / net net</v>
      </c>
      <c r="E10" s="766"/>
      <c r="F10" s="766" t="str">
        <f>IF('Język - Language'!$B$30="Polski","Flat Fee 7 dni / net net","Flat Fee 7 days / net net")</f>
        <v>Flat Fee 7 dni / net net</v>
      </c>
      <c r="G10" s="766"/>
      <c r="H10" s="1107" t="str">
        <f>IF('Język - Language'!$B$30="Polski","Flat Fee 7 dni / net net","Flat Fee 7 days / net net")</f>
        <v>Flat Fee 7 dni / net net</v>
      </c>
      <c r="I10" s="1108"/>
    </row>
    <row r="11" spans="2:12" s="288" customFormat="1" ht="25.5" customHeight="1">
      <c r="B11" s="1120" t="str">
        <f>IF('Język - Language'!$B$30="Polski","FLAT FEE","FLAT FEE")</f>
        <v>FLAT FEE</v>
      </c>
      <c r="C11" s="676" t="s">
        <v>105</v>
      </c>
      <c r="D11" s="1103" t="s">
        <v>112</v>
      </c>
      <c r="E11" s="1122"/>
      <c r="F11" s="1101" t="s">
        <v>111</v>
      </c>
      <c r="G11" s="1102"/>
      <c r="H11" s="1109" t="str">
        <f>IF('Język - Language'!$B$30="Polski","nd","n/a")</f>
        <v>nd</v>
      </c>
      <c r="I11" s="1110"/>
    </row>
    <row r="12" spans="2:12" s="288" customFormat="1" ht="25.5" customHeight="1">
      <c r="B12" s="1120"/>
      <c r="C12" s="675" t="s">
        <v>106</v>
      </c>
      <c r="D12" s="1103" t="s">
        <v>113</v>
      </c>
      <c r="E12" s="1122"/>
      <c r="F12" s="1101"/>
      <c r="G12" s="1102"/>
      <c r="H12" s="1109"/>
      <c r="I12" s="1110"/>
    </row>
    <row r="13" spans="2:12" s="288" customFormat="1" ht="25.5" customHeight="1">
      <c r="B13" s="1120"/>
      <c r="C13" s="675" t="s">
        <v>107</v>
      </c>
      <c r="D13" s="1103" t="s">
        <v>114</v>
      </c>
      <c r="E13" s="1122"/>
      <c r="F13" s="1101"/>
      <c r="G13" s="1102"/>
      <c r="H13" s="1109"/>
      <c r="I13" s="1110"/>
    </row>
    <row r="14" spans="2:12" s="288" customFormat="1" ht="25.5" customHeight="1">
      <c r="B14" s="1120"/>
      <c r="C14" s="205" t="s">
        <v>108</v>
      </c>
      <c r="D14" s="1103" t="s">
        <v>115</v>
      </c>
      <c r="E14" s="1122"/>
      <c r="F14" s="1103"/>
      <c r="G14" s="1104"/>
      <c r="H14" s="1111"/>
      <c r="I14" s="1112"/>
    </row>
    <row r="15" spans="2:12" s="288" customFormat="1" ht="25.5" customHeight="1">
      <c r="B15" s="1121"/>
      <c r="C15" s="206" t="s">
        <v>109</v>
      </c>
      <c r="D15" s="1105" t="str">
        <f>IF('Język - Language'!$B$30="Polski","nd","n/a")</f>
        <v>nd</v>
      </c>
      <c r="E15" s="1123"/>
      <c r="F15" s="1105" t="s">
        <v>110</v>
      </c>
      <c r="G15" s="1106"/>
      <c r="H15" s="1113">
        <v>2000</v>
      </c>
      <c r="I15" s="1114"/>
    </row>
    <row r="16" spans="2:12" s="288" customFormat="1" ht="12.75" customHeight="1">
      <c r="B16" s="286"/>
      <c r="C16" s="209"/>
      <c r="D16" s="370"/>
      <c r="E16" s="370"/>
      <c r="F16" s="217"/>
      <c r="G16" s="217"/>
      <c r="H16" s="216"/>
      <c r="I16" s="216"/>
      <c r="J16" s="216"/>
      <c r="L16" s="686"/>
    </row>
    <row r="17" spans="2:13" s="288" customFormat="1" ht="12.75" customHeight="1">
      <c r="B17" s="286"/>
      <c r="C17" s="209"/>
      <c r="D17" s="370"/>
      <c r="E17" s="370"/>
      <c r="F17" s="217"/>
      <c r="G17" s="217"/>
      <c r="H17" s="216"/>
      <c r="I17" s="216"/>
      <c r="J17" s="216"/>
      <c r="L17" s="686"/>
    </row>
    <row r="18" spans="2:13" s="288" customFormat="1" ht="12.75" customHeight="1">
      <c r="B18" s="286"/>
      <c r="C18" s="207" t="str">
        <f>IF('Język - Language'!$B$30="Polski","ARTYKUŁ SPONSOROWANY LOKALNY - OPCJE DODATKOWE / DOPŁATY DO CENY PODSTAWOWEJ:","ADDITIONAL OPTIONS / EXTRA CHARGES TO BASIC PRICE:")</f>
        <v>ARTYKUŁ SPONSOROWANY LOKALNY - OPCJE DODATKOWE / DOPŁATY DO CENY PODSTAWOWEJ:</v>
      </c>
      <c r="D18" s="370"/>
      <c r="E18" s="370"/>
      <c r="F18" s="217"/>
      <c r="G18" s="217"/>
      <c r="H18" s="216"/>
      <c r="I18" s="216"/>
      <c r="J18" s="216"/>
      <c r="L18" s="686"/>
    </row>
    <row r="19" spans="2:13" s="288" customFormat="1" ht="25.5" customHeight="1">
      <c r="B19" s="24"/>
      <c r="C19" s="1027" t="str">
        <f>IF('Język - Language'!$B$30="Polski","WOJEWÓDZTWO","PROVINCE")</f>
        <v>WOJEWÓDZTWO</v>
      </c>
      <c r="D19" s="1051" t="str">
        <f>IF('Język - Language'!$B$30="Polski","GEOTARGETOWANY LINK TEKSTOWY NA SG WP¹","TEXTUAL LINK WITH GEOTARGETING IN THE WP HP¹")</f>
        <v>GEOTARGETOWANY LINK TEKSTOWY NA SG WP¹</v>
      </c>
      <c r="E19" s="1051"/>
      <c r="F19" s="767" t="str">
        <f>IF('Język - Language'!$B$30="Polski","GEOBOX NA SG WP¹","GEOBOX IN THE WP HP¹")</f>
        <v>GEOBOX NA SG WP¹</v>
      </c>
      <c r="G19" s="1117"/>
      <c r="H19" s="216"/>
      <c r="I19" s="216"/>
      <c r="J19" s="216"/>
      <c r="L19" s="686"/>
    </row>
    <row r="20" spans="2:13" s="288" customFormat="1" ht="24.75" customHeight="1">
      <c r="B20" s="286"/>
      <c r="C20" s="1025"/>
      <c r="D20" s="677" t="str">
        <f>IF('Język - Language'!$B$30="Polski","MODUŁ WIADOMOŚCI","CATEGORY NEWS")</f>
        <v>MODUŁ WIADOMOŚCI</v>
      </c>
      <c r="E20" s="691" t="str">
        <f>IF('Język - Language'!$B$30="Polski","MODUŁ SPORT","CATEGORY SPORT")</f>
        <v>MODUŁ SPORT</v>
      </c>
      <c r="F20" s="694" t="str">
        <f>IF('Język - Language'!$B$30="Polski","MODUŁ GWIAZDY","CATEGORY STARS")</f>
        <v>MODUŁ GWIAZDY</v>
      </c>
      <c r="G20" s="693" t="str">
        <f>IF('Język - Language'!$B$30="Polski","MODUŁ  MOTO, TECH, STYL ŻYCIA","CATEGORY AUTOMOTIVE, TECH, LIFESTYLE")</f>
        <v>MODUŁ  MOTO, TECH, STYL ŻYCIA</v>
      </c>
      <c r="H20" s="216"/>
      <c r="I20" s="216"/>
      <c r="J20" s="216"/>
      <c r="L20" s="686"/>
    </row>
    <row r="21" spans="2:13" s="288" customFormat="1" ht="12.75" customHeight="1">
      <c r="B21" s="286"/>
      <c r="C21" s="689"/>
      <c r="D21" s="988" t="str">
        <f>IF('Język - Language'!$B$30="Polski","Flat Fee 1 dzień / net net","Flat Fee 1 day / net net")</f>
        <v>Flat Fee 1 dzień / net net</v>
      </c>
      <c r="E21" s="988"/>
      <c r="F21" s="988" t="str">
        <f>IF('Język - Language'!$B$30="Polski","Flat Fee 7 dni / net net","Flat Fee 7 days / net net")</f>
        <v>Flat Fee 7 dni / net net</v>
      </c>
      <c r="G21" s="995"/>
      <c r="H21" s="216"/>
      <c r="I21" s="216"/>
      <c r="J21" s="216"/>
      <c r="L21" s="686"/>
    </row>
    <row r="22" spans="2:13" s="288" customFormat="1" ht="25.5" customHeight="1">
      <c r="B22" s="1120" t="s">
        <v>64</v>
      </c>
      <c r="C22" s="219" t="s">
        <v>66</v>
      </c>
      <c r="D22" s="681">
        <v>4500</v>
      </c>
      <c r="E22" s="682">
        <v>3500</v>
      </c>
      <c r="F22" s="695">
        <v>2500</v>
      </c>
      <c r="G22" s="698">
        <v>1500</v>
      </c>
      <c r="H22" s="216"/>
      <c r="I22" s="216"/>
      <c r="J22" s="216"/>
      <c r="L22" s="686"/>
    </row>
    <row r="23" spans="2:13" s="288" customFormat="1" ht="38.25" customHeight="1">
      <c r="B23" s="1120"/>
      <c r="C23" s="382" t="s">
        <v>67</v>
      </c>
      <c r="D23" s="680">
        <v>2000</v>
      </c>
      <c r="E23" s="688">
        <v>1500</v>
      </c>
      <c r="F23" s="704">
        <v>1500</v>
      </c>
      <c r="G23" s="701">
        <v>1000</v>
      </c>
      <c r="H23" s="216"/>
      <c r="I23" s="216"/>
      <c r="J23" s="216"/>
      <c r="L23" s="686"/>
    </row>
    <row r="24" spans="2:13" s="288" customFormat="1" ht="25.5" customHeight="1">
      <c r="B24" s="1120"/>
      <c r="C24" s="205" t="s">
        <v>68</v>
      </c>
      <c r="D24" s="680">
        <v>1500</v>
      </c>
      <c r="E24" s="688">
        <v>1300</v>
      </c>
      <c r="F24" s="704">
        <v>1000</v>
      </c>
      <c r="G24" s="701">
        <v>700</v>
      </c>
      <c r="H24" s="216"/>
      <c r="I24" s="216"/>
      <c r="J24" s="216"/>
      <c r="L24" s="686"/>
    </row>
    <row r="25" spans="2:13" s="288" customFormat="1" ht="38.25" customHeight="1">
      <c r="B25" s="1120"/>
      <c r="C25" s="382" t="s">
        <v>69</v>
      </c>
      <c r="D25" s="680">
        <v>1000</v>
      </c>
      <c r="E25" s="688">
        <v>700</v>
      </c>
      <c r="F25" s="704">
        <v>1000</v>
      </c>
      <c r="G25" s="701">
        <v>700</v>
      </c>
      <c r="H25" s="216"/>
      <c r="I25" s="216"/>
      <c r="J25" s="216"/>
      <c r="L25" s="686"/>
    </row>
    <row r="26" spans="2:13" s="288" customFormat="1" ht="38.25" customHeight="1">
      <c r="B26" s="1120"/>
      <c r="C26" s="383" t="s">
        <v>70</v>
      </c>
      <c r="D26" s="684">
        <v>700</v>
      </c>
      <c r="E26" s="690">
        <v>500</v>
      </c>
      <c r="F26" s="697">
        <v>500</v>
      </c>
      <c r="G26" s="702">
        <v>500</v>
      </c>
      <c r="H26" s="216"/>
      <c r="I26" s="216"/>
      <c r="J26" s="216"/>
      <c r="L26" s="686"/>
    </row>
    <row r="27" spans="2:13" s="288" customFormat="1" ht="12.75">
      <c r="C27" s="209" t="str">
        <f>IF('Język - Language'!$B$30="Polski","¹ wycena net-net, ceny dla 1 województwa","¹ net-net valuation, prices for 1 province")</f>
        <v>¹ wycena net-net, ceny dla 1 województwa</v>
      </c>
      <c r="D27" s="209"/>
      <c r="E27" s="692"/>
      <c r="F27" s="692"/>
      <c r="G27" s="692"/>
      <c r="H27" s="692"/>
      <c r="I27" s="692"/>
      <c r="J27" s="305"/>
      <c r="M27" s="686"/>
    </row>
    <row r="28" spans="2:13" s="288" customFormat="1" ht="12.75">
      <c r="C28" s="209"/>
      <c r="D28" s="209"/>
      <c r="E28" s="709"/>
      <c r="F28" s="709"/>
      <c r="G28" s="709"/>
      <c r="H28" s="709"/>
      <c r="I28" s="709"/>
      <c r="J28" s="305"/>
      <c r="M28" s="686"/>
    </row>
    <row r="29" spans="2:13" s="288" customFormat="1" ht="12.75">
      <c r="C29" s="209"/>
      <c r="D29" s="209"/>
      <c r="E29" s="692"/>
      <c r="F29" s="692"/>
      <c r="G29" s="692"/>
      <c r="H29" s="692"/>
      <c r="I29" s="692"/>
      <c r="J29" s="305"/>
      <c r="M29" s="686"/>
    </row>
    <row r="30" spans="2:13" s="288" customFormat="1" ht="12.75" customHeight="1">
      <c r="B30" s="286"/>
      <c r="C30" s="379" t="s">
        <v>116</v>
      </c>
      <c r="D30" s="370"/>
      <c r="E30" s="370"/>
      <c r="F30" s="217"/>
      <c r="G30" s="217"/>
      <c r="H30" s="216"/>
      <c r="I30" s="216"/>
      <c r="J30" s="216"/>
      <c r="L30" s="686"/>
    </row>
    <row r="31" spans="2:13" s="288" customFormat="1" ht="12.75" customHeight="1">
      <c r="B31" s="24"/>
      <c r="C31" s="1115" t="str">
        <f>IF('Język - Language'!$B$30="Polski","LICZBA ARTYKUŁÓW","NUMBER OF ARTICLES")</f>
        <v>LICZBA ARTYKUŁÓW</v>
      </c>
      <c r="D31" s="767" t="str">
        <f>IF('Język - Language'!$B$30="Polski","PRÓG #1","OPTION #1")</f>
        <v>PRÓG #1</v>
      </c>
      <c r="E31" s="767"/>
      <c r="F31" s="767" t="str">
        <f>IF('Język - Language'!$B$30="Polski","PRÓG #2","OPTION #2")</f>
        <v>PRÓG #2</v>
      </c>
      <c r="G31" s="1117"/>
    </row>
    <row r="32" spans="2:13" s="288" customFormat="1" ht="12.75" customHeight="1">
      <c r="B32" s="24"/>
      <c r="C32" s="1116"/>
      <c r="D32" s="685" t="str">
        <f>IF('Język - Language'!$B$30="Polski","ZASIĘG","REACH")</f>
        <v>ZASIĘG</v>
      </c>
      <c r="E32" s="369" t="str">
        <f>IF('Język - Language'!$B$30="Polski","Flat Fee 7 dni / net net","Flat Fee 7 days / net net")</f>
        <v>Flat Fee 7 dni / net net</v>
      </c>
      <c r="F32" s="706" t="str">
        <f>IF('Język - Language'!$B$30="Polski","ZASIĘG","REACH")</f>
        <v>ZASIĘG</v>
      </c>
      <c r="G32" s="707" t="str">
        <f>IF('Język - Language'!$B$30="Polski","Flat Fee 7 dni / net net","Flat Fee 7 days / net net")</f>
        <v>Flat Fee 7 dni / net net</v>
      </c>
    </row>
    <row r="33" spans="2:13" s="288" customFormat="1" ht="25.5" customHeight="1">
      <c r="B33" s="1120" t="str">
        <f>IF('Język - Language'!$B$30="Polski","FLAT FEE","FLAT FEE")</f>
        <v>FLAT FEE</v>
      </c>
      <c r="C33" s="358">
        <v>1</v>
      </c>
      <c r="D33" s="376" t="s">
        <v>88</v>
      </c>
      <c r="E33" s="361">
        <v>12000</v>
      </c>
      <c r="F33" s="708" t="s">
        <v>92</v>
      </c>
      <c r="G33" s="699">
        <v>15000</v>
      </c>
    </row>
    <row r="34" spans="2:13" s="288" customFormat="1" ht="25.5" customHeight="1">
      <c r="B34" s="1120"/>
      <c r="C34" s="359">
        <v>2</v>
      </c>
      <c r="D34" s="679" t="s">
        <v>89</v>
      </c>
      <c r="E34" s="688">
        <v>22800</v>
      </c>
      <c r="F34" s="705" t="s">
        <v>93</v>
      </c>
      <c r="G34" s="696">
        <v>28500</v>
      </c>
    </row>
    <row r="35" spans="2:13" s="288" customFormat="1" ht="25.5" customHeight="1">
      <c r="B35" s="1120"/>
      <c r="C35" s="360">
        <v>3</v>
      </c>
      <c r="D35" s="679" t="s">
        <v>90</v>
      </c>
      <c r="E35" s="688">
        <v>32400</v>
      </c>
      <c r="F35" s="705" t="s">
        <v>94</v>
      </c>
      <c r="G35" s="696">
        <v>40500</v>
      </c>
    </row>
    <row r="36" spans="2:13" s="288" customFormat="1" ht="25.5" customHeight="1">
      <c r="B36" s="1121"/>
      <c r="C36" s="687">
        <v>4</v>
      </c>
      <c r="D36" s="683" t="s">
        <v>91</v>
      </c>
      <c r="E36" s="690">
        <v>40800</v>
      </c>
      <c r="F36" s="703" t="s">
        <v>95</v>
      </c>
      <c r="G36" s="700">
        <v>51000</v>
      </c>
    </row>
    <row r="37" spans="2:13" s="288" customFormat="1" ht="12.75" customHeight="1">
      <c r="B37" s="286"/>
      <c r="C37" s="215"/>
      <c r="D37" s="370"/>
      <c r="E37" s="370"/>
      <c r="F37" s="217"/>
      <c r="G37" s="217"/>
      <c r="H37" s="216"/>
      <c r="I37" s="216"/>
      <c r="J37" s="216"/>
      <c r="L37" s="686"/>
    </row>
    <row r="38" spans="2:13" s="288" customFormat="1" ht="12.75" customHeight="1">
      <c r="B38" s="286"/>
      <c r="C38" s="215"/>
      <c r="D38" s="370"/>
      <c r="E38" s="370"/>
      <c r="F38" s="217"/>
      <c r="G38" s="217"/>
      <c r="H38" s="216"/>
      <c r="I38" s="216"/>
      <c r="J38" s="216"/>
      <c r="L38" s="686"/>
    </row>
    <row r="39" spans="2:13" s="288" customFormat="1" ht="12.75" customHeight="1">
      <c r="B39" s="286"/>
      <c r="C39" s="380" t="s">
        <v>124</v>
      </c>
      <c r="D39" s="370"/>
      <c r="E39" s="370"/>
      <c r="F39" s="217"/>
      <c r="G39" s="217"/>
      <c r="H39" s="216"/>
      <c r="I39" s="216"/>
      <c r="J39" s="216"/>
      <c r="L39" s="686"/>
    </row>
    <row r="40" spans="2:13" s="288" customFormat="1" ht="25.5" customHeight="1">
      <c r="B40" s="286"/>
      <c r="C40" s="1025" t="str">
        <f>IF('Język - Language'!$B$30="Polski","MIEJSCE EMISJI","PLACE OF EMISSION")</f>
        <v>MIEJSCE EMISJI</v>
      </c>
      <c r="D40" s="766" t="s">
        <v>119</v>
      </c>
      <c r="E40" s="766"/>
      <c r="F40" s="766" t="s">
        <v>117</v>
      </c>
      <c r="G40" s="779"/>
      <c r="H40" s="686"/>
    </row>
    <row r="41" spans="2:13" s="288" customFormat="1" ht="12.75" customHeight="1">
      <c r="B41" s="286"/>
      <c r="C41" s="1025"/>
      <c r="D41" s="766" t="s">
        <v>120</v>
      </c>
      <c r="E41" s="766"/>
      <c r="F41" s="766" t="s">
        <v>122</v>
      </c>
      <c r="G41" s="779"/>
      <c r="H41" s="686"/>
    </row>
    <row r="42" spans="2:13" s="288" customFormat="1" ht="38.25" customHeight="1">
      <c r="B42" s="678" t="s">
        <v>64</v>
      </c>
      <c r="C42" s="206" t="s">
        <v>276</v>
      </c>
      <c r="D42" s="1118" t="s">
        <v>121</v>
      </c>
      <c r="E42" s="1119"/>
      <c r="F42" s="1118" t="s">
        <v>123</v>
      </c>
      <c r="G42" s="1119"/>
      <c r="H42" s="686"/>
    </row>
    <row r="43" spans="2:13" s="288" customFormat="1" ht="12.75" customHeight="1">
      <c r="B43" s="286"/>
      <c r="C43" s="209" t="str">
        <f>IF('Język - Language'!$B$30="Polski","¹ zasięg 15 000 UU","¹ reach 15 000 UU")</f>
        <v>¹ zasięg 15 000 UU</v>
      </c>
      <c r="D43" s="370"/>
      <c r="E43" s="370"/>
      <c r="F43" s="217"/>
      <c r="G43" s="217"/>
      <c r="H43" s="216"/>
      <c r="I43" s="216"/>
      <c r="J43" s="216"/>
      <c r="L43" s="686"/>
    </row>
    <row r="44" spans="2:13" s="288" customFormat="1" ht="12.75" customHeight="1">
      <c r="C44" s="189"/>
      <c r="D44" s="189"/>
      <c r="E44" s="189"/>
      <c r="F44" s="189"/>
      <c r="G44" s="189"/>
      <c r="H44" s="189"/>
      <c r="I44" s="189"/>
      <c r="J44" s="189"/>
      <c r="M44" s="524"/>
    </row>
    <row r="45" spans="2:13" s="288" customFormat="1" ht="12.75" customHeight="1">
      <c r="C45" s="207" t="str">
        <f>IF('Język - Language'!$B$30="Polski","INFORMACJE DODATKOWE: ","FURTHER INFORMATION: ")</f>
        <v xml:space="preserve">INFORMACJE DODATKOWE: </v>
      </c>
      <c r="D45" s="207"/>
      <c r="E45" s="692"/>
      <c r="F45" s="692"/>
      <c r="G45" s="692"/>
      <c r="H45" s="692"/>
      <c r="I45" s="692"/>
      <c r="J45" s="188" t="s">
        <v>31</v>
      </c>
      <c r="M45" s="524"/>
    </row>
    <row r="46" spans="2:13" s="288" customFormat="1" ht="12.75" customHeight="1">
      <c r="C46" s="692" t="str">
        <f>IF('Język - Language'!$B$30="Polski","• Artykuł sponsorowany z gwarancją jest promowany do osiągnięcia gwarantowanego zasięgu (max. 14 dni) z wykorzystaniem powierzchni serwisu oraz na SG WP.","• A standard sponsored article includes weekly editorial preview in the HP of a given site in which the article is placed.")</f>
        <v>• Artykuł sponsorowany z gwarancją jest promowany do osiągnięcia gwarantowanego zasięgu (max. 14 dni) z wykorzystaniem powierzchni serwisu oraz na SG WP.</v>
      </c>
      <c r="D46" s="188"/>
      <c r="E46" s="188"/>
      <c r="F46" s="188"/>
      <c r="G46" s="188"/>
      <c r="H46" s="188"/>
      <c r="I46" s="188"/>
      <c r="J46" s="188"/>
      <c r="M46" s="524"/>
    </row>
    <row r="47" spans="2:13" s="288" customFormat="1" ht="12.75" customHeight="1">
      <c r="C47" s="208" t="s">
        <v>160</v>
      </c>
      <c r="D47" s="410"/>
      <c r="E47" s="410"/>
      <c r="F47" s="410"/>
      <c r="G47" s="410"/>
      <c r="H47" s="410"/>
      <c r="I47" s="410"/>
      <c r="J47" s="410"/>
      <c r="M47" s="524"/>
    </row>
    <row r="48" spans="2:13" s="288" customFormat="1">
      <c r="C48" s="305" t="str">
        <f>IF('Język - Language'!$B$30="Polski","• Istnieje możliwość emisji video oraz brandingu w ramach artykułu sponsorowanego lub plotki sponsorowanej (wycena ustalana indywidualnie).","• Addiotionally, you can add video or branding to the article. For price please contact the Advertising Office of WP.")</f>
        <v>• Istnieje możliwość emisji video oraz brandingu w ramach artykułu sponsorowanego lub plotki sponsorowanej (wycena ustalana indywidualnie).</v>
      </c>
      <c r="D48" s="305"/>
      <c r="E48" s="692"/>
      <c r="F48" s="692"/>
      <c r="G48" s="692"/>
      <c r="H48" s="692"/>
      <c r="I48" s="692"/>
      <c r="J48" s="305"/>
      <c r="M48" s="524"/>
    </row>
    <row r="49" spans="3:13" s="288" customFormat="1">
      <c r="C49" s="305"/>
      <c r="D49" s="305"/>
      <c r="E49" s="692"/>
      <c r="F49" s="692"/>
      <c r="G49" s="692"/>
      <c r="H49" s="692"/>
      <c r="I49" s="692"/>
      <c r="J49" s="305"/>
      <c r="M49" s="524"/>
    </row>
    <row r="50" spans="3:13" s="288" customFormat="1">
      <c r="C50" s="207" t="str">
        <f>IF('Język - Language'!$B$30="Polski","ARTYKUŁ SPONSOROWANY - OPCJE DODATKOWE (bez dopłat):","ADDITIONAL OPTIONS:")</f>
        <v>ARTYKUŁ SPONSOROWANY - OPCJE DODATKOWE (bez dopłat):</v>
      </c>
      <c r="D50" s="305"/>
      <c r="E50" s="692"/>
      <c r="F50" s="692"/>
      <c r="G50" s="692"/>
      <c r="H50" s="692"/>
      <c r="I50" s="692"/>
      <c r="J50" s="305"/>
      <c r="M50" s="524"/>
    </row>
    <row r="51" spans="3:13" s="288" customFormat="1">
      <c r="C51" s="305" t="str">
        <f>IF('Język - Language'!$B$30="Polski","• Możliwość umieszczenia multimediów w artykule ","• It is possible to place multimedia in an article")</f>
        <v xml:space="preserve">• Możliwość umieszczenia multimediów w artykule </v>
      </c>
      <c r="D51" s="305"/>
      <c r="E51" s="692"/>
      <c r="F51" s="692"/>
      <c r="G51" s="692"/>
      <c r="H51" s="692"/>
      <c r="I51" s="692"/>
      <c r="J51" s="305"/>
      <c r="M51" s="524"/>
    </row>
    <row r="52" spans="3:13" s="288" customFormat="1">
      <c r="C52" s="208" t="str">
        <f>IF('Język - Language'!$B$30="Polski","• Branding artykułu (screening desktop i górny banner mobile)","• Branding (desktop screening &amp; upper mobile banner)")</f>
        <v>• Branding artykułu (screening desktop i górny banner mobile)</v>
      </c>
      <c r="D52" s="305"/>
      <c r="E52" s="692"/>
      <c r="F52" s="692"/>
      <c r="G52" s="692"/>
      <c r="H52" s="692"/>
      <c r="I52" s="692"/>
      <c r="J52" s="305"/>
      <c r="M52" s="524"/>
    </row>
  </sheetData>
  <mergeCells count="35">
    <mergeCell ref="C8:C10"/>
    <mergeCell ref="D8:E9"/>
    <mergeCell ref="D10:E10"/>
    <mergeCell ref="F10:G10"/>
    <mergeCell ref="F1:I3"/>
    <mergeCell ref="F8:G9"/>
    <mergeCell ref="B11:B15"/>
    <mergeCell ref="D11:E11"/>
    <mergeCell ref="D12:E12"/>
    <mergeCell ref="D13:E13"/>
    <mergeCell ref="D14:E14"/>
    <mergeCell ref="D15:E15"/>
    <mergeCell ref="F19:G19"/>
    <mergeCell ref="F21:G21"/>
    <mergeCell ref="C19:C20"/>
    <mergeCell ref="D19:E19"/>
    <mergeCell ref="B22:B26"/>
    <mergeCell ref="D21:E21"/>
    <mergeCell ref="C31:C32"/>
    <mergeCell ref="D31:E31"/>
    <mergeCell ref="F31:G31"/>
    <mergeCell ref="D42:E42"/>
    <mergeCell ref="B33:B36"/>
    <mergeCell ref="F40:G40"/>
    <mergeCell ref="F41:G41"/>
    <mergeCell ref="F42:G42"/>
    <mergeCell ref="C40:C41"/>
    <mergeCell ref="D40:E40"/>
    <mergeCell ref="D41:E41"/>
    <mergeCell ref="F11:G14"/>
    <mergeCell ref="F15:G15"/>
    <mergeCell ref="H8:I9"/>
    <mergeCell ref="H10:I10"/>
    <mergeCell ref="H11:I14"/>
    <mergeCell ref="H15:I15"/>
  </mergeCells>
  <pageMargins left="0.7" right="0.7" top="0.75" bottom="0.75" header="0.3" footer="0.3"/>
  <pageSetup paperSize="9" orientation="portrait" horizontalDpi="1200" verticalDpi="1200" r:id="rId1"/>
  <ignoredErrors>
    <ignoredError sqref="E32"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pageSetUpPr fitToPage="1"/>
  </sheetPr>
  <dimension ref="A1:AA96"/>
  <sheetViews>
    <sheetView zoomScaleNormal="100" workbookViewId="0">
      <pane ySplit="4" topLeftCell="A5" activePane="bottomLeft" state="frozen"/>
      <selection pane="bottomLeft"/>
    </sheetView>
  </sheetViews>
  <sheetFormatPr defaultColWidth="11.42578125" defaultRowHeight="12.75"/>
  <cols>
    <col min="1" max="1" width="5.5703125" style="65" customWidth="1"/>
    <col min="2" max="2" width="20.42578125" style="65" customWidth="1"/>
    <col min="3" max="3" width="70.85546875" style="65" customWidth="1"/>
    <col min="4" max="4" width="43.85546875" style="65" customWidth="1"/>
    <col min="5" max="5" width="5.42578125" style="65" customWidth="1"/>
    <col min="6" max="6" width="33.42578125" style="65" customWidth="1"/>
    <col min="7" max="16384" width="11.42578125" style="65"/>
  </cols>
  <sheetData>
    <row r="1" spans="1:12" ht="12.75" customHeight="1">
      <c r="A1" s="104"/>
      <c r="B1" s="104"/>
      <c r="C1" s="726" t="str">
        <f>IF('Język - Language'!$B$30="Polski",CONCATENATE("Cennik Reklamowy Wirtualna Polska Media S.A. - obowiązuje od 1.11.2019 r.",CHAR(10),"W celu zasięgnięcia dodatkowych informacji prosimy o kontakt z Biurem Reklamy,",CHAR(10),"reklama@grupawp.pl, tel. (+48) 22 57 63 900; fax (+48) 22 57 63 959"),CONCATENATE("Advertising price list of Wirtualna Polska Media S.A. - valid from November 1, 2019",CHAR(10),"For further information please contact the Advertising Office of WP,",CHAR(10),"reklama@grupawp.pl, phone (+48) 22 57 63 900; fax (+48) 22 57 63 959"))</f>
        <v>Cennik Reklamowy Wirtualna Polska Media S.A. - obowiązuje od 1.11.2019 r.
W celu zasięgnięcia dodatkowych informacji prosimy o kontakt z Biurem Reklamy,
reklama@grupawp.pl, tel. (+48) 22 57 63 900; fax (+48) 22 57 63 959</v>
      </c>
      <c r="D1" s="726"/>
      <c r="E1" s="70"/>
      <c r="F1" s="70"/>
      <c r="G1" s="288"/>
      <c r="H1" s="288"/>
      <c r="I1" s="288"/>
      <c r="J1" s="288"/>
      <c r="K1" s="288"/>
      <c r="L1" s="288"/>
    </row>
    <row r="2" spans="1:12" ht="12.75" customHeight="1">
      <c r="A2" s="104"/>
      <c r="B2" s="104"/>
      <c r="C2" s="726"/>
      <c r="D2" s="726"/>
      <c r="E2" s="70"/>
      <c r="F2" s="70"/>
      <c r="G2" s="288"/>
      <c r="H2" s="288"/>
      <c r="I2" s="288"/>
      <c r="J2" s="288"/>
      <c r="K2" s="288"/>
      <c r="L2" s="288"/>
    </row>
    <row r="3" spans="1:12" ht="12.75" customHeight="1">
      <c r="A3" s="104"/>
      <c r="B3" s="104"/>
      <c r="C3" s="726"/>
      <c r="D3" s="726"/>
      <c r="E3" s="70"/>
      <c r="F3" s="70"/>
      <c r="G3" s="288"/>
      <c r="H3" s="288"/>
      <c r="I3" s="288"/>
      <c r="J3" s="288"/>
      <c r="K3" s="288"/>
      <c r="L3" s="288"/>
    </row>
    <row r="4" spans="1:12" s="34" customFormat="1" ht="12.75" customHeight="1">
      <c r="A4" s="291"/>
      <c r="B4" s="35" t="str">
        <f>IF('Język - Language'!$B$30="Polski","            Opcje emisji, dopłaty i uwagi dodatkowe","            Extra charges, additional service and further comments")</f>
        <v xml:space="preserve">            Opcje emisji, dopłaty i uwagi dodatkowe</v>
      </c>
      <c r="C4" s="36"/>
      <c r="D4" s="285" t="str">
        <f>IF('Język - Language'!$B$30="Polski","PL","EN")</f>
        <v>PL</v>
      </c>
      <c r="E4" s="291"/>
      <c r="F4" s="291"/>
      <c r="G4" s="291"/>
      <c r="H4" s="291"/>
      <c r="I4" s="291"/>
      <c r="J4" s="291"/>
      <c r="K4" s="291"/>
      <c r="L4" s="291"/>
    </row>
    <row r="5" spans="1:12" ht="12.75" customHeight="1">
      <c r="A5" s="288"/>
      <c r="B5" s="288"/>
      <c r="C5" s="288"/>
      <c r="D5" s="288"/>
      <c r="E5" s="288"/>
      <c r="F5" s="288"/>
      <c r="G5" s="288"/>
      <c r="H5" s="288"/>
      <c r="I5" s="288"/>
      <c r="J5" s="288"/>
      <c r="K5" s="288"/>
      <c r="L5" s="288"/>
    </row>
    <row r="6" spans="1:12" ht="12.75" customHeight="1">
      <c r="A6" s="288"/>
      <c r="B6" s="286"/>
      <c r="C6" s="286"/>
      <c r="D6" s="286"/>
      <c r="E6" s="288"/>
      <c r="F6" s="288"/>
      <c r="G6" s="288"/>
      <c r="H6" s="288"/>
      <c r="I6" s="288"/>
      <c r="J6" s="288"/>
      <c r="K6" s="288"/>
      <c r="L6" s="288"/>
    </row>
    <row r="7" spans="1:12" ht="25.5" customHeight="1">
      <c r="A7" s="286"/>
      <c r="B7" s="1026" t="str">
        <f>IF('Język - Language'!$B$30="Polski","OPCJE EMISJI","ADDITIONAL OPTIONS")</f>
        <v>OPCJE EMISJI</v>
      </c>
      <c r="C7" s="1026"/>
      <c r="D7" s="344" t="str">
        <f>IF('Język - Language'!$B$30="Polski","DOPŁATA","EXTRA CHARGE")</f>
        <v>DOPŁATA</v>
      </c>
      <c r="E7" s="288"/>
      <c r="F7" s="288"/>
      <c r="G7" s="288"/>
      <c r="H7" s="288"/>
      <c r="I7" s="288"/>
      <c r="J7" s="288"/>
      <c r="K7" s="288"/>
      <c r="L7" s="288"/>
    </row>
    <row r="8" spans="1:12" s="240" customFormat="1" ht="12.75" customHeight="1">
      <c r="A8" s="288"/>
      <c r="B8" s="1143" t="str">
        <f>IF('Język - Language'!$B$30="Polski","Umieszczenie reklamy w wybranym przedziale godzinowym","Displaying ad in selected hourly time slots")</f>
        <v>Umieszczenie reklamy w wybranym przedziale godzinowym</v>
      </c>
      <c r="C8" s="1143"/>
      <c r="D8" s="346" t="s">
        <v>77</v>
      </c>
      <c r="E8" s="21"/>
      <c r="F8" s="146"/>
      <c r="G8" s="146"/>
      <c r="H8" s="146"/>
      <c r="I8" s="71"/>
      <c r="J8" s="71"/>
      <c r="K8" s="71"/>
      <c r="L8" s="71"/>
    </row>
    <row r="9" spans="1:12" ht="12.75" customHeight="1">
      <c r="A9" s="288"/>
      <c r="B9" s="780" t="str">
        <f>IF('Język - Language'!$B$30="Polski","Umieszczenie reklamy w wybranym przedziale godzinowym w opcji last minute","Displaying ad in selected hourly time slots (last minute)")</f>
        <v>Umieszczenie reklamy w wybranym przedziale godzinowym w opcji last minute</v>
      </c>
      <c r="C9" s="782"/>
      <c r="D9" s="346" t="s">
        <v>78</v>
      </c>
      <c r="E9" s="21"/>
      <c r="F9" s="146"/>
      <c r="G9" s="146"/>
      <c r="H9" s="146"/>
      <c r="I9" s="71"/>
      <c r="J9" s="71"/>
      <c r="K9" s="71"/>
      <c r="L9" s="71"/>
    </row>
    <row r="10" spans="1:12" ht="12.75" customHeight="1">
      <c r="A10" s="288"/>
      <c r="B10" s="1143" t="str">
        <f>IF('Język - Language'!$B$30="Polski","Ukierunkowanie reklamy do użytkowników wybranej przeglądarki internetowej","Directing ad to users using selected internet browser")</f>
        <v>Ukierunkowanie reklamy do użytkowników wybranej przeglądarki internetowej</v>
      </c>
      <c r="C10" s="1143"/>
      <c r="D10" s="347" t="s">
        <v>77</v>
      </c>
      <c r="E10" s="288"/>
      <c r="F10" s="146"/>
      <c r="G10" s="146"/>
      <c r="H10" s="146"/>
      <c r="I10" s="286"/>
      <c r="J10" s="286"/>
      <c r="K10" s="286"/>
      <c r="L10" s="286"/>
    </row>
    <row r="11" spans="1:12" ht="12.75" customHeight="1">
      <c r="A11" s="288"/>
      <c r="B11" s="1127" t="str">
        <f>IF('Język - Language'!$B$30="Polski","Ukierunkowanie reklamy do użytkowników wybranego systemu operacyjnego","Directing ad to users using selected operational system")</f>
        <v>Ukierunkowanie reklamy do użytkowników wybranego systemu operacyjnego</v>
      </c>
      <c r="C11" s="1127"/>
      <c r="D11" s="347" t="s">
        <v>78</v>
      </c>
      <c r="E11" s="288"/>
      <c r="F11" s="146"/>
      <c r="G11" s="146"/>
      <c r="H11" s="146"/>
      <c r="I11" s="1124"/>
      <c r="J11" s="1124"/>
      <c r="K11" s="1124"/>
      <c r="L11" s="72"/>
    </row>
    <row r="12" spans="1:12" ht="12.75" customHeight="1">
      <c r="A12" s="288"/>
      <c r="B12" s="977" t="str">
        <f>IF('Język - Language'!$B$30="Polski","Ukierunkowanie reklamy do użytkowników wybranej marki lub modelu telefonu","Directing ad to users of selected brand or type of cell phone")</f>
        <v>Ukierunkowanie reklamy do użytkowników wybranej marki lub modelu telefonu</v>
      </c>
      <c r="C12" s="977"/>
      <c r="D12" s="347" t="s">
        <v>77</v>
      </c>
      <c r="E12" s="288"/>
      <c r="F12" s="146"/>
      <c r="G12" s="146"/>
      <c r="H12" s="146"/>
      <c r="I12" s="1124"/>
      <c r="J12" s="1124"/>
      <c r="K12" s="1124"/>
      <c r="L12" s="72"/>
    </row>
    <row r="13" spans="1:12" ht="12.75" customHeight="1">
      <c r="A13" s="288"/>
      <c r="B13" s="1127" t="str">
        <f>IF('Język - Language'!$B$30="Polski","Ograniczenie ilości odsłon reklamy do pojedynczego użytkownika","Capping ad to single users")</f>
        <v>Ograniczenie ilości odsłon reklamy do pojedynczego użytkownika</v>
      </c>
      <c r="C13" s="1127"/>
      <c r="D13" s="347" t="s">
        <v>78</v>
      </c>
      <c r="E13" s="21"/>
      <c r="F13" s="146"/>
      <c r="G13" s="146"/>
      <c r="H13" s="146"/>
      <c r="I13" s="1124"/>
      <c r="J13" s="1124"/>
      <c r="K13" s="1124"/>
      <c r="L13" s="72"/>
    </row>
    <row r="14" spans="1:12" ht="12.75" customHeight="1">
      <c r="A14" s="288"/>
      <c r="B14" s="780" t="str">
        <f>IF('Język - Language'!$B$30="Polski","Targetowanie po operatorach (Play, Plus, T-mobile, Orange)","Directing ad to users who use Play, Plus, T-mobile or Orange provider ")</f>
        <v>Targetowanie po operatorach (Play, Plus, T-mobile, Orange)</v>
      </c>
      <c r="C14" s="782"/>
      <c r="D14" s="347" t="s">
        <v>76</v>
      </c>
      <c r="E14" s="288"/>
      <c r="F14" s="146"/>
      <c r="G14" s="146"/>
      <c r="H14" s="146"/>
      <c r="I14" s="1124"/>
      <c r="J14" s="1124"/>
      <c r="K14" s="1124"/>
      <c r="L14" s="72"/>
    </row>
    <row r="15" spans="1:12" ht="12.75" customHeight="1">
      <c r="A15" s="288"/>
      <c r="B15" s="780" t="str">
        <f>IF('Język - Language'!$B$30="Polski","Targetowanie po dostawcy Internetu (tylko display, wymagane 10 dni roboczych na przygotowanie)","Directing ad to users who use selected internet provider (applicable to display only; 10 working days earlier)")</f>
        <v>Targetowanie po dostawcy Internetu (tylko display, wymagane 10 dni roboczych na przygotowanie)</v>
      </c>
      <c r="C15" s="782"/>
      <c r="D15" s="347" t="s">
        <v>75</v>
      </c>
      <c r="E15" s="288"/>
      <c r="F15" s="146"/>
      <c r="G15" s="146"/>
      <c r="H15" s="146"/>
      <c r="I15" s="348"/>
      <c r="J15" s="348"/>
      <c r="K15" s="348"/>
      <c r="L15" s="72"/>
    </row>
    <row r="16" spans="1:12" ht="12.75" customHeight="1">
      <c r="A16" s="288"/>
      <c r="B16" s="1126" t="str">
        <f>IF('Język - Language'!$B$30="Polski","Wideo w kreacji ","Adding video in creative")</f>
        <v xml:space="preserve">Wideo w kreacji </v>
      </c>
      <c r="C16" s="1126"/>
      <c r="D16" s="347" t="s">
        <v>76</v>
      </c>
      <c r="E16" s="21"/>
      <c r="F16" s="146"/>
      <c r="G16" s="146"/>
      <c r="H16" s="146"/>
      <c r="I16" s="1125"/>
      <c r="J16" s="1125"/>
      <c r="K16" s="1125"/>
      <c r="L16" s="72"/>
    </row>
    <row r="17" spans="2:12" ht="12.75" customHeight="1">
      <c r="B17" s="1126" t="str">
        <f>IF('Język - Language'!$B$30="Polski","Gwarancja pierwszej pozycji w bloku reklamowym","A guarantee of the first ad position in advertising/placement block")</f>
        <v>Gwarancja pierwszej pozycji w bloku reklamowym</v>
      </c>
      <c r="C17" s="1126"/>
      <c r="D17" s="347" t="s">
        <v>79</v>
      </c>
      <c r="E17" s="21"/>
      <c r="F17" s="146"/>
      <c r="G17" s="146"/>
      <c r="H17" s="146"/>
      <c r="I17" s="350"/>
      <c r="J17" s="350"/>
      <c r="K17" s="350"/>
      <c r="L17" s="72"/>
    </row>
    <row r="18" spans="2:12" ht="12.75" customHeight="1">
      <c r="B18" s="1126" t="str">
        <f>IF('Język - Language'!$B$30="Polski","Emisja wyłącznie na wybranej części serwisu","Displaying ad in selected pages of a given site")</f>
        <v>Emisja wyłącznie na wybranej części serwisu</v>
      </c>
      <c r="C18" s="1126"/>
      <c r="D18" s="347" t="s">
        <v>76</v>
      </c>
      <c r="E18" s="21"/>
      <c r="F18" s="146"/>
      <c r="G18" s="146"/>
      <c r="H18" s="146"/>
      <c r="I18" s="1125"/>
      <c r="J18" s="1125"/>
      <c r="K18" s="1125"/>
      <c r="L18" s="72"/>
    </row>
    <row r="19" spans="2:12" ht="12.75" customHeight="1">
      <c r="B19" s="780" t="str">
        <f>IF('Język - Language'!$B$30="Polski","Tapeta: klikalna / animowana / interakwywna / z kurtyną","Clicable / animated watermark")</f>
        <v>Tapeta: klikalna / animowana / interakwywna / z kurtyną</v>
      </c>
      <c r="C19" s="782"/>
      <c r="D19" s="347" t="s">
        <v>76</v>
      </c>
      <c r="E19" s="288"/>
      <c r="F19" s="146"/>
      <c r="G19" s="146"/>
      <c r="H19" s="146"/>
      <c r="I19" s="1124"/>
      <c r="J19" s="1124"/>
      <c r="K19" s="1124"/>
      <c r="L19" s="72"/>
    </row>
    <row r="20" spans="2:12" ht="12.75" customHeight="1">
      <c r="B20" s="1126" t="str">
        <f>IF('Język - Language'!$B$30="Polski","Wyświetlanie kreacji reklamowych w określonej sekwencji","Displaying ads sequentionally")</f>
        <v>Wyświetlanie kreacji reklamowych w określonej sekwencji</v>
      </c>
      <c r="C20" s="1126"/>
      <c r="D20" s="347" t="s">
        <v>77</v>
      </c>
      <c r="E20" s="21"/>
      <c r="F20" s="146"/>
      <c r="G20" s="146"/>
      <c r="H20" s="146"/>
      <c r="I20" s="1124"/>
      <c r="J20" s="1124"/>
      <c r="K20" s="1124"/>
      <c r="L20" s="72"/>
    </row>
    <row r="21" spans="2:12" ht="12.75" customHeight="1">
      <c r="B21" s="1127" t="str">
        <f>IF('Język - Language'!$B$30="Polski","Logo drugiego klienta w kreacji","Adding second brand in a creative")</f>
        <v>Logo drugiego klienta w kreacji</v>
      </c>
      <c r="C21" s="1127"/>
      <c r="D21" s="347" t="s">
        <v>80</v>
      </c>
      <c r="E21" s="288"/>
      <c r="F21" s="146"/>
      <c r="G21" s="146"/>
      <c r="H21" s="146"/>
      <c r="I21" s="1124"/>
      <c r="J21" s="1124"/>
      <c r="K21" s="1124"/>
      <c r="L21" s="72"/>
    </row>
    <row r="22" spans="2:12" ht="12.75" customHeight="1">
      <c r="B22" s="1127" t="str">
        <f>IF('Język - Language'!$B$30="Polski","Każde następne logo w kreacji","Further brands in a creative")</f>
        <v>Każde następne logo w kreacji</v>
      </c>
      <c r="C22" s="1127"/>
      <c r="D22" s="347" t="s">
        <v>77</v>
      </c>
      <c r="E22" s="288"/>
      <c r="F22" s="146"/>
      <c r="G22" s="146"/>
      <c r="H22" s="146"/>
      <c r="I22" s="1124"/>
      <c r="J22" s="1124"/>
      <c r="K22" s="1124"/>
      <c r="L22" s="286"/>
    </row>
    <row r="23" spans="2:12" ht="12.75" customHeight="1">
      <c r="B23" s="1127" t="str">
        <f>IF('Język - Language'!$B$30="Polski","Przekroczenie wagi kreacji za każdy procent przekroczenia","Exceeding the ad weight for each per cent in excess")</f>
        <v>Przekroczenie wagi kreacji za każdy procent przekroczenia</v>
      </c>
      <c r="C23" s="1127"/>
      <c r="D23" s="347" t="s">
        <v>81</v>
      </c>
      <c r="E23" s="73"/>
      <c r="F23" s="146"/>
      <c r="G23" s="146"/>
      <c r="H23" s="146"/>
      <c r="I23" s="286"/>
      <c r="J23" s="286"/>
      <c r="K23" s="286"/>
      <c r="L23" s="286"/>
    </row>
    <row r="24" spans="2:12" ht="12.75" customHeight="1">
      <c r="B24" s="1127" t="str">
        <f>IF('Język - Language'!$B$30="Polski","Scrollowanie i expandowanie formy reklamowej","Scrolling and expanding of ads ")</f>
        <v>Scrollowanie i expandowanie formy reklamowej</v>
      </c>
      <c r="C24" s="1127"/>
      <c r="D24" s="347" t="s">
        <v>75</v>
      </c>
      <c r="E24" s="21"/>
      <c r="F24" s="146"/>
      <c r="G24" s="146"/>
      <c r="H24" s="146"/>
      <c r="I24" s="288"/>
      <c r="J24" s="288"/>
      <c r="K24" s="288"/>
      <c r="L24" s="288"/>
    </row>
    <row r="25" spans="2:12" s="121" customFormat="1" ht="12.75" customHeight="1">
      <c r="B25" s="780" t="str">
        <f>IF('Język - Language'!$B$30="Polski","Parallaxa w kreacji (emisja formatu z efektem parallaxy)","Parallax in a creative")</f>
        <v>Parallaxa w kreacji (emisja formatu z efektem parallaxy)</v>
      </c>
      <c r="C25" s="782"/>
      <c r="D25" s="347" t="s">
        <v>78</v>
      </c>
      <c r="E25" s="21"/>
      <c r="F25" s="146"/>
      <c r="G25" s="146"/>
      <c r="H25" s="146"/>
      <c r="I25" s="288"/>
      <c r="J25" s="288"/>
      <c r="K25" s="288"/>
      <c r="L25" s="288"/>
    </row>
    <row r="26" spans="2:12" s="288" customFormat="1" ht="12.75" customHeight="1">
      <c r="B26" s="780" t="str">
        <f>IF('Język - Language'!$B$30="Polski","Karuzela, Scroller, Slider, Cube w kreacji","Carousel, Scroller, Slider, Cube in a creative")</f>
        <v>Karuzela, Scroller, Slider, Cube w kreacji</v>
      </c>
      <c r="C26" s="782"/>
      <c r="D26" s="347" t="s">
        <v>76</v>
      </c>
      <c r="E26" s="21"/>
      <c r="F26" s="146"/>
      <c r="G26" s="146"/>
      <c r="H26" s="146"/>
    </row>
    <row r="27" spans="2:12" s="288" customFormat="1" ht="12.75" customHeight="1">
      <c r="B27" s="780" t="s">
        <v>214</v>
      </c>
      <c r="C27" s="782"/>
      <c r="D27" s="347" t="s">
        <v>183</v>
      </c>
      <c r="E27" s="21"/>
      <c r="F27" s="146"/>
      <c r="G27" s="146"/>
      <c r="H27" s="146"/>
    </row>
    <row r="28" spans="2:12" ht="12.75" customHeight="1">
      <c r="B28" s="1127" t="str">
        <f>IF('Język - Language'!$B$30="Polski","Mega formaty","Mega Formats")</f>
        <v>Mega formaty</v>
      </c>
      <c r="C28" s="1127"/>
      <c r="D28" s="251" t="str">
        <f>IF('Język - Language'!$B$30="Polski","+50% do ceny formy podstawowej","+50% to basic format price")</f>
        <v>+50% do ceny formy podstawowej</v>
      </c>
      <c r="E28" s="288"/>
      <c r="F28" s="146"/>
      <c r="G28" s="146"/>
      <c r="H28" s="146"/>
      <c r="I28" s="288"/>
      <c r="J28" s="288"/>
      <c r="K28" s="288"/>
      <c r="L28" s="288"/>
    </row>
    <row r="29" spans="2:12" ht="12.75" customHeight="1">
      <c r="B29" s="1126" t="str">
        <f>IF('Język - Language'!$B$30="Polski","Połączenie dwóch form reklamowych","Mixing two ads")</f>
        <v>Połączenie dwóch form reklamowych</v>
      </c>
      <c r="C29" s="1126"/>
      <c r="D29" s="251" t="str">
        <f>IF('Język - Language'!$B$30="Polski","łącznie 150% ceny droższej formy","total of 150% of the price of most expensive format")</f>
        <v>łącznie 150% ceny droższej formy</v>
      </c>
      <c r="E29" s="288"/>
      <c r="F29" s="146"/>
      <c r="G29" s="146"/>
      <c r="H29" s="146"/>
      <c r="I29" s="288"/>
      <c r="J29" s="288"/>
      <c r="K29" s="288"/>
      <c r="L29" s="288"/>
    </row>
    <row r="30" spans="2:12" ht="12.75" customHeight="1">
      <c r="B30" s="323" t="str">
        <f>IF('Język - Language'!$B$30="Polski","Site-takeover","Site-takeover")</f>
        <v>Site-takeover</v>
      </c>
      <c r="C30" s="324"/>
      <c r="D30" s="251" t="s">
        <v>75</v>
      </c>
      <c r="E30" s="288"/>
      <c r="F30" s="146"/>
      <c r="G30" s="146"/>
      <c r="H30" s="146"/>
      <c r="I30" s="288"/>
      <c r="J30" s="288"/>
      <c r="K30" s="288"/>
      <c r="L30" s="288"/>
    </row>
    <row r="31" spans="2:12" ht="12.75" customHeight="1">
      <c r="B31" s="780" t="str">
        <f>IF('Język - Language'!$B$30="Polski","Zmiana kreacji w trakcie trwania kampanii display i w mailingu","Changing creative in display and mailing")</f>
        <v>Zmiana kreacji w trakcie trwania kampanii display i w mailingu</v>
      </c>
      <c r="C31" s="782"/>
      <c r="D31" s="251" t="str">
        <f>IF('Język - Language'!$B$30="Polski","+10% za każdą kreację","+10% for each creative")</f>
        <v>+10% za każdą kreację</v>
      </c>
      <c r="E31" s="288"/>
      <c r="F31" s="146"/>
      <c r="G31" s="146"/>
      <c r="H31" s="146"/>
      <c r="I31" s="288"/>
      <c r="J31" s="288"/>
      <c r="K31" s="288"/>
      <c r="L31" s="288"/>
    </row>
    <row r="32" spans="2:12" s="244" customFormat="1" ht="12.75" customHeight="1">
      <c r="B32" s="780" t="str">
        <f>IF('Język - Language'!$B$30="Polski","Pre-Order - rezerwacja na WP SG przed oficjalnym otwarciem rezerwatora na kolejny kwartał","Pre-Order - prior reservation (a guarantee od emission day) on the WP HP")</f>
        <v>Pre-Order - rezerwacja na WP SG przed oficjalnym otwarciem rezerwatora na kolejny kwartał</v>
      </c>
      <c r="C32" s="782"/>
      <c r="D32" s="347" t="s">
        <v>77</v>
      </c>
      <c r="E32" s="288"/>
      <c r="F32" s="146"/>
      <c r="G32" s="146"/>
      <c r="H32" s="146"/>
      <c r="I32" s="288"/>
      <c r="J32" s="288"/>
      <c r="K32" s="288"/>
      <c r="L32" s="288"/>
    </row>
    <row r="33" spans="1:12" s="288" customFormat="1" ht="12.75" customHeight="1">
      <c r="B33" s="780" t="s">
        <v>182</v>
      </c>
      <c r="C33" s="782"/>
      <c r="D33" s="347" t="s">
        <v>181</v>
      </c>
      <c r="F33" s="146"/>
      <c r="G33" s="146"/>
      <c r="H33" s="146"/>
    </row>
    <row r="34" spans="1:12" s="110" customFormat="1" ht="12.75" customHeight="1">
      <c r="B34" s="1144" t="str">
        <f>IF('Język - Language'!$B$30="Polski","Wydłużenie spotu CPV powyżej standardowej długości","Extension of time of Instream Video Ad")</f>
        <v>Wydłużenie spotu CPV powyżej standardowej długości</v>
      </c>
      <c r="C34" s="1145"/>
      <c r="D34" s="252"/>
      <c r="E34" s="288"/>
      <c r="F34" s="67"/>
      <c r="G34" s="288"/>
      <c r="H34" s="288"/>
      <c r="I34" s="288"/>
      <c r="J34" s="288"/>
      <c r="K34" s="288"/>
      <c r="L34" s="288"/>
    </row>
    <row r="35" spans="1:12" s="110" customFormat="1" ht="12.75" customHeight="1">
      <c r="B35" s="253"/>
      <c r="C35" s="254" t="str">
        <f>IF('Język - Language'!$B$30="Polski",CONCATENATE("do 35",CHAR(34)),CONCATENATE("up to 35",CHAR(34)))</f>
        <v>do 35"</v>
      </c>
      <c r="D35" s="252" t="s">
        <v>82</v>
      </c>
      <c r="E35" s="288"/>
      <c r="F35" s="67"/>
      <c r="G35" s="288"/>
      <c r="H35" s="288"/>
      <c r="I35" s="288"/>
      <c r="J35" s="288"/>
      <c r="K35" s="288"/>
      <c r="L35" s="288"/>
    </row>
    <row r="36" spans="1:12" s="110" customFormat="1" ht="12.75" customHeight="1">
      <c r="A36" s="288"/>
      <c r="B36" s="253"/>
      <c r="C36" s="254" t="str">
        <f>IF('Język - Language'!$B$30="Polski",CONCATENATE("do 40",CHAR(34)),CONCATENATE("up to 40",CHAR(34)))</f>
        <v>do 40"</v>
      </c>
      <c r="D36" s="252" t="s">
        <v>77</v>
      </c>
      <c r="E36" s="288"/>
      <c r="F36" s="67"/>
    </row>
    <row r="37" spans="1:12" s="110" customFormat="1" ht="12.75" customHeight="1">
      <c r="A37" s="288"/>
      <c r="B37" s="253"/>
      <c r="C37" s="254" t="str">
        <f>IF('Język - Language'!$B$30="Polski",CONCATENATE("do 45",CHAR(34)),CONCATENATE("up to 45",CHAR(34)))</f>
        <v>do 45"</v>
      </c>
      <c r="D37" s="252" t="s">
        <v>80</v>
      </c>
      <c r="E37" s="288"/>
      <c r="F37" s="67"/>
    </row>
    <row r="38" spans="1:12" s="110" customFormat="1" ht="12.75" customHeight="1">
      <c r="A38" s="288"/>
      <c r="B38" s="253"/>
      <c r="C38" s="254" t="str">
        <f>IF('Język - Language'!$B$30="Polski",CONCATENATE("do 50",CHAR(34)),CONCATENATE("up to 50",CHAR(34)))</f>
        <v>do 50"</v>
      </c>
      <c r="D38" s="252" t="s">
        <v>76</v>
      </c>
      <c r="E38" s="288"/>
      <c r="F38" s="67"/>
    </row>
    <row r="39" spans="1:12" s="110" customFormat="1" ht="12.75" customHeight="1">
      <c r="A39" s="288"/>
      <c r="B39" s="253"/>
      <c r="C39" s="254" t="str">
        <f>IF('Język - Language'!$B$30="Polski",CONCATENATE("do 55",CHAR(34)),CONCATENATE("up to 55",CHAR(34)))</f>
        <v>do 55"</v>
      </c>
      <c r="D39" s="252" t="s">
        <v>83</v>
      </c>
      <c r="E39" s="288"/>
      <c r="F39" s="67"/>
    </row>
    <row r="40" spans="1:12" s="110" customFormat="1" ht="12.75" customHeight="1">
      <c r="A40" s="288"/>
      <c r="B40" s="435"/>
      <c r="C40" s="436" t="str">
        <f>IF('Język - Language'!$B$30="Polski",CONCATENATE("do 60",CHAR(34)),CONCATENATE("up to 60",CHAR(34)))</f>
        <v>do 60"</v>
      </c>
      <c r="D40" s="346" t="s">
        <v>75</v>
      </c>
      <c r="E40" s="288"/>
      <c r="F40" s="67"/>
    </row>
    <row r="41" spans="1:12" ht="12.75" customHeight="1">
      <c r="A41" s="288"/>
      <c r="B41" s="1143" t="str">
        <f>IF('Język - Language'!$B$30="Polski","Reklama piwa","Beer advertising")</f>
        <v>Reklama piwa</v>
      </c>
      <c r="C41" s="1143"/>
      <c r="D41" s="256" t="s">
        <v>84</v>
      </c>
      <c r="E41" s="288"/>
      <c r="F41" s="288"/>
    </row>
    <row r="42" spans="1:12" ht="12.75" customHeight="1">
      <c r="A42" s="288"/>
      <c r="B42" s="977" t="str">
        <f>IF('Język - Language'!$B$30="Polski","Targetowanie demograficzne","Demographic targeting")</f>
        <v>Targetowanie demograficzne</v>
      </c>
      <c r="C42" s="977"/>
      <c r="D42" s="251" t="str">
        <f>IF('Język - Language'!$B$30="Polski","+25% za każde kryterium","+25% for each criterion")</f>
        <v>+25% za każde kryterium</v>
      </c>
      <c r="E42" s="288"/>
      <c r="F42" s="74"/>
    </row>
    <row r="43" spans="1:12" ht="12.75" customHeight="1">
      <c r="A43" s="288"/>
      <c r="B43" s="1126" t="str">
        <f>IF('Język - Language'!$B$30="Polski","Targetowanie geograficzne","Geographic targeting")</f>
        <v>Targetowanie geograficzne</v>
      </c>
      <c r="C43" s="1126"/>
      <c r="D43" s="251" t="str">
        <f>IF('Język - Language'!$B$30="Polski","+50% za każde kryterium","+50% for each criterion")</f>
        <v>+50% za każde kryterium</v>
      </c>
      <c r="E43" s="288"/>
      <c r="F43" s="122"/>
    </row>
    <row r="44" spans="1:12" s="90" customFormat="1" ht="12.75" customHeight="1">
      <c r="A44" s="288"/>
      <c r="B44" s="1127" t="str">
        <f>IF('Język - Language'!$B$30="Polski","Targetowanie po kategoriach IAB (na wybranej powierzchni)","IAB categories targeting")</f>
        <v>Targetowanie po kategoriach IAB (na wybranej powierzchni)</v>
      </c>
      <c r="C44" s="1127"/>
      <c r="D44" s="251" t="str">
        <f>IF('Język - Language'!$B$30="Polski","+25% za każde kryterium","+25% for each criterion")</f>
        <v>+25% za każde kryterium</v>
      </c>
      <c r="E44" s="288"/>
      <c r="F44" s="75"/>
    </row>
    <row r="45" spans="1:12" ht="12.75" customHeight="1">
      <c r="A45" s="288"/>
      <c r="B45" s="1127" t="str">
        <f>IF('Język - Language'!$B$30="Polski","Retargetowanie","Retargeting")</f>
        <v>Retargetowanie</v>
      </c>
      <c r="C45" s="1127"/>
      <c r="D45" s="257" t="s">
        <v>75</v>
      </c>
      <c r="E45" s="21"/>
      <c r="F45" s="288"/>
    </row>
    <row r="46" spans="1:12" s="288" customFormat="1" ht="12.75" customHeight="1">
      <c r="B46" s="780" t="s">
        <v>96</v>
      </c>
      <c r="C46" s="782"/>
      <c r="D46" s="257" t="s">
        <v>78</v>
      </c>
      <c r="E46" s="21"/>
    </row>
    <row r="47" spans="1:12" ht="12.75" customHeight="1">
      <c r="A47" s="288"/>
      <c r="B47" s="1126" t="str">
        <f>IF('Język - Language'!$B$30="Polski","Wybór emisji tylko na jednym portalu","Selecting either WP or O2 (display and mailing)")</f>
        <v>Wybór emisji tylko na jednym portalu</v>
      </c>
      <c r="C47" s="1126"/>
      <c r="D47" s="257" t="s">
        <v>77</v>
      </c>
      <c r="E47" s="288"/>
      <c r="F47" s="288"/>
    </row>
    <row r="48" spans="1:12" ht="12.75" customHeight="1">
      <c r="A48" s="288"/>
      <c r="B48" s="1126" t="str">
        <f>IF('Język - Language'!$B$30="Polski","Optymalizacja big data w mailingach","Big data optimalization")</f>
        <v>Optymalizacja big data w mailingach</v>
      </c>
      <c r="C48" s="1126"/>
      <c r="D48" s="258" t="s">
        <v>76</v>
      </c>
      <c r="E48" s="288"/>
      <c r="F48" s="288"/>
    </row>
    <row r="49" spans="1:7" ht="25.5" customHeight="1">
      <c r="A49" s="288"/>
      <c r="B49" s="1025" t="str">
        <f>IF('Język - Language'!$B$30="Polski","DODATKOWE OPCJE W MAILINGU","MAILING ADDITIONAL OPTIONS")</f>
        <v>DODATKOWE OPCJE W MAILINGU</v>
      </c>
      <c r="C49" s="1025"/>
      <c r="D49" s="321" t="str">
        <f>IF('Język - Language'!$B$30="Polski","DOPŁATA","EXTRA CHARGE")</f>
        <v>DOPŁATA</v>
      </c>
      <c r="E49" s="288"/>
      <c r="F49" s="288"/>
    </row>
    <row r="50" spans="1:7" ht="12.75" customHeight="1">
      <c r="A50" s="288"/>
      <c r="B50" s="977" t="str">
        <f>IF('Język - Language'!$B$30="Polski","Mailing do bazy użytkowników wybranego portalu (tylko o2.pl lub tylko WP.pl)","Advertising mailing to o2 email services only or WP email services only")</f>
        <v>Mailing do bazy użytkowników wybranego portalu (tylko o2.pl lub tylko WP.pl)</v>
      </c>
      <c r="C50" s="977"/>
      <c r="D50" s="255" t="s">
        <v>77</v>
      </c>
      <c r="E50" s="288"/>
      <c r="F50" s="288"/>
    </row>
    <row r="51" spans="1:7" ht="12.75" customHeight="1">
      <c r="A51" s="288"/>
      <c r="B51" s="780" t="str">
        <f>IF('Język - Language'!$B$30="Polski","Odznaczanie bazy mailingowej","Odznaczanie bazy mailingowej")</f>
        <v>Odznaczanie bazy mailingowej</v>
      </c>
      <c r="C51" s="782"/>
      <c r="D51" s="259" t="s">
        <v>76</v>
      </c>
      <c r="E51" s="288"/>
      <c r="F51" s="67"/>
    </row>
    <row r="52" spans="1:7" s="124" customFormat="1" ht="12.75" customHeight="1">
      <c r="A52" s="187"/>
      <c r="B52" s="780" t="str">
        <f>IF('Język - Language'!$B$30="Polski","Wysyłka mailingu w częściach - za drugą i każdą następną część","Mailing in parts - for second and every next part")</f>
        <v>Wysyłka mailingu w częściach - za drugą i każdą następną część</v>
      </c>
      <c r="C52" s="782"/>
      <c r="D52" s="257" t="s">
        <v>77</v>
      </c>
      <c r="E52" s="288"/>
      <c r="F52" s="288"/>
    </row>
    <row r="53" spans="1:7" s="124" customFormat="1" ht="12.75" customHeight="1">
      <c r="A53" s="187"/>
      <c r="B53" s="780" t="str">
        <f>IF('Język - Language'!$B$30="Polski","Retargetowanie mailingu","Retargeted mailing")</f>
        <v>Retargetowanie mailingu</v>
      </c>
      <c r="C53" s="782"/>
      <c r="D53" s="257" t="s">
        <v>75</v>
      </c>
      <c r="E53" s="288"/>
      <c r="F53" s="288"/>
      <c r="G53" s="288"/>
    </row>
    <row r="54" spans="1:7" s="124" customFormat="1" ht="12.75" customHeight="1">
      <c r="A54" s="187"/>
      <c r="B54" s="780" t="str">
        <f>IF('Język - Language'!$B$30="Polski","Personalizacja mailingu WP (login, imię, nazwisko)","Personalization in WP Mailing (login, name, surname)")</f>
        <v>Personalizacja mailingu WP (login, imię, nazwisko)</v>
      </c>
      <c r="C54" s="782"/>
      <c r="D54" s="257" t="s">
        <v>76</v>
      </c>
      <c r="E54" s="288"/>
      <c r="F54" s="288"/>
      <c r="G54" s="288"/>
    </row>
    <row r="55" spans="1:7" s="124" customFormat="1" ht="12.75" customHeight="1">
      <c r="A55" s="286"/>
      <c r="B55" s="780" t="str">
        <f>IF('Język - Language'!$B$30="Polski","Dopłata za TG dotyczący produktów alkoholowych (inne niż piwo)","Special target to advertise alcoholic products (other than beer)")</f>
        <v>Dopłata za TG dotyczący produktów alkoholowych (inne niż piwo)</v>
      </c>
      <c r="C55" s="782"/>
      <c r="D55" s="257" t="s">
        <v>76</v>
      </c>
      <c r="E55" s="288"/>
      <c r="F55" s="288"/>
      <c r="G55" s="288"/>
    </row>
    <row r="56" spans="1:7" s="124" customFormat="1" ht="12.75" customHeight="1">
      <c r="A56" s="286"/>
      <c r="B56" s="780" t="str">
        <f>IF('Język - Language'!$B$30="Polski","Podświetlenie / wyróżnienie","Backlighting / highlighting")</f>
        <v>Podświetlenie / wyróżnienie</v>
      </c>
      <c r="C56" s="782"/>
      <c r="D56" s="257" t="s">
        <v>75</v>
      </c>
      <c r="E56" s="288"/>
      <c r="F56" s="288"/>
      <c r="G56" s="288"/>
    </row>
    <row r="57" spans="1:7" s="124" customFormat="1" ht="12.75" customHeight="1">
      <c r="A57" s="286"/>
      <c r="B57" s="780" t="str">
        <f>IF('Język - Language'!$B$30="Polski","Mailing wysyłany na urządzenia mobilne","Mailing dispatched only to mobile devices")</f>
        <v>Mailing wysyłany na urządzenia mobilne</v>
      </c>
      <c r="C57" s="782"/>
      <c r="D57" s="257" t="s">
        <v>75</v>
      </c>
      <c r="E57" s="288"/>
      <c r="F57" s="288"/>
      <c r="G57" s="288"/>
    </row>
    <row r="58" spans="1:7" s="124" customFormat="1" ht="12.75" customHeight="1">
      <c r="A58" s="286"/>
      <c r="B58" s="780" t="str">
        <f>IF('Język - Language'!$B$30="Polski","Dopłata za dodatkowe 10kB","Additional 10kB of ad weight")</f>
        <v>Dopłata za dodatkowe 10kB</v>
      </c>
      <c r="C58" s="782"/>
      <c r="D58" s="257" t="s">
        <v>85</v>
      </c>
      <c r="E58" s="288"/>
      <c r="F58" s="288"/>
      <c r="G58" s="288"/>
    </row>
    <row r="59" spans="1:7" s="124" customFormat="1" ht="12.75" customHeight="1">
      <c r="A59" s="286"/>
      <c r="B59" s="780" t="str">
        <f>IF('Język - Language'!$B$30="Polski","Video Mailing do 1,5 MB","Video Mailing up to 1,5 MB")</f>
        <v>Video Mailing do 1,5 MB</v>
      </c>
      <c r="C59" s="782"/>
      <c r="D59" s="257" t="s">
        <v>76</v>
      </c>
      <c r="E59" s="288"/>
      <c r="F59" s="288"/>
      <c r="G59" s="288"/>
    </row>
    <row r="60" spans="1:7" s="124" customFormat="1" ht="12.75" customHeight="1">
      <c r="A60" s="286"/>
      <c r="B60" s="1094" t="str">
        <f>IF('Język - Language'!$B$30="Polski","Optymalizacja big data w mailingach","Big data optimization in Mailing")</f>
        <v>Optymalizacja big data w mailingach</v>
      </c>
      <c r="C60" s="1095"/>
      <c r="D60" s="260" t="s">
        <v>76</v>
      </c>
      <c r="E60" s="288"/>
      <c r="F60" s="288"/>
      <c r="G60" s="288"/>
    </row>
    <row r="61" spans="1:7" s="124" customFormat="1" ht="12.75" customHeight="1">
      <c r="A61" s="288"/>
      <c r="B61" s="245"/>
      <c r="C61" s="245"/>
      <c r="D61" s="261"/>
      <c r="E61" s="288"/>
      <c r="F61" s="288"/>
      <c r="G61" s="288"/>
    </row>
    <row r="62" spans="1:7" ht="25.5" customHeight="1">
      <c r="A62" s="286"/>
      <c r="B62" s="1134" t="str">
        <f>IF('Język - Language'!$B$30="Polski","KRYTERIA TARGETOWANIA KAMPANII DISPLAY ORAZ MAILINGU","TARGETING CRITERIA FOR DISPLAY AND MAILING CAMPAIGNS")</f>
        <v>KRYTERIA TARGETOWANIA KAMPANII DISPLAY ORAZ MAILINGU</v>
      </c>
      <c r="C62" s="1134"/>
      <c r="D62" s="1135"/>
      <c r="E62" s="10"/>
      <c r="F62" s="10"/>
      <c r="G62" s="10"/>
    </row>
    <row r="63" spans="1:7" ht="21">
      <c r="A63" s="286"/>
      <c r="B63" s="349" t="str">
        <f>IF('Język - Language'!$B$30="Polski","TARGETOWANIE DEMOGRAFICZNE","DEMOGRAPHIC TARGETING")</f>
        <v>TARGETOWANIE DEMOGRAFICZNE</v>
      </c>
      <c r="C63" s="1130" t="str">
        <f>IF('Język - Language'!$B$30="Polski","PARAMETRY TARGETOWANIA","TARGETING PARAMETERS")</f>
        <v>PARAMETRY TARGETOWANIA</v>
      </c>
      <c r="D63" s="1131"/>
      <c r="E63" s="11"/>
      <c r="F63" s="11"/>
      <c r="G63" s="11"/>
    </row>
    <row r="64" spans="1:7">
      <c r="A64" s="288"/>
      <c r="B64" s="262" t="str">
        <f>IF('Język - Language'!$B$30="Polski","PŁEĆ","GENDER")</f>
        <v>PŁEĆ</v>
      </c>
      <c r="C64" s="1150" t="str">
        <f>IF('Język - Language'!$B$30="Polski","kobieta, mężczyzna","woman, man")</f>
        <v>kobieta, mężczyzna</v>
      </c>
      <c r="D64" s="1151"/>
      <c r="E64" s="68"/>
      <c r="F64" s="68"/>
      <c r="G64" s="68"/>
    </row>
    <row r="65" spans="1:27">
      <c r="A65" s="288"/>
      <c r="B65" s="263" t="str">
        <f>IF('Język - Language'!$B$30="Polski","WIEK","AGE")</f>
        <v>WIEK</v>
      </c>
      <c r="C65" s="1141" t="str">
        <f>IF('Język - Language'!$B$30="Polski","dowolny przedział wiekowy","number of years")</f>
        <v>dowolny przedział wiekowy</v>
      </c>
      <c r="D65" s="1142"/>
      <c r="E65" s="68"/>
      <c r="F65" s="68"/>
      <c r="G65" s="68"/>
    </row>
    <row r="66" spans="1:27">
      <c r="A66" s="288"/>
      <c r="B66" s="263" t="str">
        <f>IF('Język - Language'!$B$30="Polski","WYKSZTAŁCENIE","EDUCATION")</f>
        <v>WYKSZTAŁCENIE</v>
      </c>
      <c r="C66" s="1132" t="str">
        <f>IF('Język - Language'!$B$30="Polski","bez wykształcenia, podstawowe, zawodowe, średnie, wyższe","no education, basic, professional, high school, BA / MA")</f>
        <v>bez wykształcenia, podstawowe, zawodowe, średnie, wyższe</v>
      </c>
      <c r="D66" s="1133"/>
      <c r="E66" s="37"/>
      <c r="F66" s="37"/>
      <c r="G66" s="37"/>
    </row>
    <row r="67" spans="1:27" ht="36" customHeight="1">
      <c r="A67" s="288"/>
      <c r="B67" s="263" t="str">
        <f>IF('Język - Language'!$B$30="Polski","ZAWÓD","PROFESSION")</f>
        <v>ZAWÓD</v>
      </c>
      <c r="C67" s="1132" t="str">
        <f>IF('Język - Language'!$B$30="Polski","wyższy urzędnik / kierownik, wolny zawód / specjalista, prywatny przedsiębiorca / biznesmen, rolnik, robotnik, pracownik usług / administracja / technik, gospodyni domowa, student, uczeń, emeryt / rencista, bezrobotny","senior clerk / manager, freelancer / specialist, entrepreneur / businessman, farmer, laborer, services / administration employee / technician, housewife, student, pupil, old age pensioner / sickness pensioner, unemployed")</f>
        <v>wyższy urzędnik / kierownik, wolny zawód / specjalista, prywatny przedsiębiorca / biznesmen, rolnik, robotnik, pracownik usług / administracja / technik, gospodyni domowa, student, uczeń, emeryt / rencista, bezrobotny</v>
      </c>
      <c r="D67" s="1133"/>
      <c r="E67" s="37"/>
      <c r="F67" s="37"/>
      <c r="G67" s="37"/>
    </row>
    <row r="68" spans="1:27" ht="38.25" customHeight="1">
      <c r="A68" s="288"/>
      <c r="B68" s="263" t="str">
        <f>IF('Język - Language'!$B$30="Polski","ZAINTERESOWANIA","INTERESTS")</f>
        <v>ZAINTERESOWANIA</v>
      </c>
      <c r="C68" s="1132" t="str">
        <f>IF('Język - Language'!$B$30="Polski","dom i rodzina, biznes, gry komputerowe, komputery i internet, kultura i sztuka, muzyka, film, książki, motoryzacja, nauka i technika, polityka, podróże, sport, turystyka, zdrowie","family and home, business, computer games, computers and the internet, arts, music, films, books, automotive industry, science and technology, politics, travel, sport, tourism, health")</f>
        <v>dom i rodzina, biznes, gry komputerowe, komputery i internet, kultura i sztuka, muzyka, film, książki, motoryzacja, nauka i technika, polityka, podróże, sport, turystyka, zdrowie</v>
      </c>
      <c r="D68" s="1133"/>
      <c r="E68" s="37"/>
      <c r="F68" s="37"/>
      <c r="G68" s="37"/>
    </row>
    <row r="69" spans="1:27" ht="57" customHeight="1">
      <c r="A69" s="288"/>
      <c r="B69" s="264" t="str">
        <f>IF('Język - Language'!$B$30="Polski","BRANŻA","OCCUPATIONAL AREA")</f>
        <v>BRANŻA</v>
      </c>
      <c r="C69" s="1090" t="str">
        <f>CONCATENATE($AA$69,$AA$70)</f>
        <v>budownictwo / architektura, dystrybucja / logistyka, edukacja / badania naukowe, finanse / bankowość / ubezpieczenia, gastronomia / hotelarstwo / turystyka / sport, handel hurtowy i detaliczny, instytucje rządowe i samorządowe, łączność / telekomunikacja, media / kultura i sztuka / rozrywka, medycyna / ochrona zdrowia, produkcja, rachunkowość / audyt, usługi dla firm / ludności, usługi internetowe/komputerowe, usługi prawne / konsulting</v>
      </c>
      <c r="D69" s="1091"/>
      <c r="E69" s="37"/>
      <c r="F69" s="37"/>
      <c r="G69" s="37"/>
      <c r="H69" s="288"/>
      <c r="I69" s="288"/>
      <c r="J69" s="288"/>
      <c r="K69" s="288"/>
      <c r="L69" s="288"/>
      <c r="M69" s="288"/>
      <c r="N69" s="288"/>
      <c r="O69" s="288"/>
      <c r="P69" s="288"/>
      <c r="Q69" s="288"/>
      <c r="R69" s="288"/>
      <c r="S69" s="288"/>
      <c r="T69" s="288"/>
      <c r="U69" s="288"/>
      <c r="V69" s="288"/>
      <c r="W69" s="288"/>
      <c r="X69" s="288"/>
      <c r="Y69" s="288"/>
      <c r="Z69" s="288"/>
      <c r="AA69" s="288" t="str">
        <f>IF('Język - Language'!$B$30="Polski","budownictwo / architektura, dystrybucja / logistyka, edukacja / badania naukowe, finanse / bankowość / ubezpieczenia, gastronomia / hotelarstwo / turystyka / sport, handel hurtowy i detaliczny, instytucje rządowe i samorządowe, łączność /","housing / architecture, distribution / logistics, education / scientific research, banking / finance / insurance, gastronomy / accommodation / tourism / sport, retail and wholesale trading, governmental institutions, connectivity /")</f>
        <v>budownictwo / architektura, dystrybucja / logistyka, edukacja / badania naukowe, finanse / bankowość / ubezpieczenia, gastronomia / hotelarstwo / turystyka / sport, handel hurtowy i detaliczny, instytucje rządowe i samorządowe, łączność /</v>
      </c>
    </row>
    <row r="70" spans="1:27" ht="31.5">
      <c r="A70" s="288"/>
      <c r="B70" s="265" t="str">
        <f>IF('Język - Language'!$B$30="Polski","WIELKOŚĆ MIEJSCOWOŚCI* (tylko na serwisach WP)","POPULATION (applicable to WP sites)")</f>
        <v>WIELKOŚĆ MIEJSCOWOŚCI* (tylko na serwisach WP)</v>
      </c>
      <c r="C70" s="1148" t="str">
        <f>IF('Język - Language'!$B$30="Polski","wieś, do 50 tys., 50-100 tys., 100-500 tys., pow. 500 tys.","country, up to 50 k, 50-100 k, 100-500 k, more than 500 k")</f>
        <v>wieś, do 50 tys., 50-100 tys., 100-500 tys., pow. 500 tys.</v>
      </c>
      <c r="D70" s="1149"/>
      <c r="E70" s="37"/>
      <c r="F70" s="37"/>
      <c r="G70" s="37"/>
      <c r="H70" s="288"/>
      <c r="I70" s="288"/>
      <c r="J70" s="288"/>
      <c r="K70" s="288"/>
      <c r="L70" s="288"/>
      <c r="M70" s="288"/>
      <c r="N70" s="288"/>
      <c r="O70" s="288"/>
      <c r="P70" s="288"/>
      <c r="Q70" s="288"/>
      <c r="R70" s="288"/>
      <c r="S70" s="288"/>
      <c r="T70" s="288"/>
      <c r="U70" s="288"/>
      <c r="V70" s="288"/>
      <c r="W70" s="288"/>
      <c r="X70" s="288"/>
      <c r="Y70" s="288"/>
      <c r="Z70" s="288"/>
      <c r="AA70" s="288" t="str">
        <f>IF('Język - Language'!$B$30="Polski"," telekomunikacja, media / kultura i sztuka / rozrywka, medycyna / ochrona zdrowia, produkcja, rachunkowość / audyt, usługi dla firm / ludności, usługi internetowe/komputerowe, usługi prawne / konsulting"," telecommunication, media / arts and culture / entertainment, medicine / health security, production, accounting / auditing, services B2B / B2C, computer / internet services, legal services / consulting)")</f>
        <v xml:space="preserve"> telekomunikacja, media / kultura i sztuka / rozrywka, medycyna / ochrona zdrowia, produkcja, rachunkowość / audyt, usługi dla firm / ludności, usługi internetowe/komputerowe, usługi prawne / konsulting</v>
      </c>
    </row>
    <row r="71" spans="1:27" ht="21">
      <c r="A71" s="286"/>
      <c r="B71" s="349" t="str">
        <f>IF('Język - Language'!$B$30="Polski","TARGETOWANIE GEOGRAFICZNE","GEOTARGETING")</f>
        <v>TARGETOWANIE GEOGRAFICZNE</v>
      </c>
      <c r="C71" s="1130" t="str">
        <f>IF('Język - Language'!$B$30="Polski","PARAMETRY TARGETOWANIA","TARGETING PARAMETERS")</f>
        <v>PARAMETRY TARGETOWANIA</v>
      </c>
      <c r="D71" s="1131"/>
      <c r="E71" s="10"/>
      <c r="F71" s="10"/>
      <c r="G71" s="10"/>
      <c r="H71" s="288"/>
      <c r="I71" s="288"/>
      <c r="J71" s="288"/>
      <c r="K71" s="288"/>
      <c r="L71" s="288"/>
      <c r="M71" s="288"/>
      <c r="N71" s="288"/>
      <c r="O71" s="288"/>
      <c r="P71" s="288"/>
      <c r="Q71" s="288"/>
      <c r="R71" s="288"/>
      <c r="S71" s="288"/>
      <c r="T71" s="288"/>
      <c r="U71" s="288"/>
      <c r="V71" s="288"/>
      <c r="W71" s="288"/>
      <c r="X71" s="288"/>
      <c r="Y71" s="288"/>
      <c r="Z71" s="288"/>
      <c r="AA71" s="288"/>
    </row>
    <row r="72" spans="1:27">
      <c r="A72" s="288"/>
      <c r="B72" s="262" t="str">
        <f>IF('Język - Language'!$B$30="Polski","WOJEWÓDZTWO","PROVINCE")</f>
        <v>WOJEWÓDZTWO</v>
      </c>
      <c r="C72" s="1146" t="str">
        <f>IF('Język - Language'!$B$30="Polski","wybrane województwo","selected province")</f>
        <v>wybrane województwo</v>
      </c>
      <c r="D72" s="1147"/>
      <c r="E72" s="69"/>
      <c r="F72" s="69"/>
      <c r="G72" s="69"/>
      <c r="H72" s="288"/>
      <c r="I72" s="288"/>
      <c r="J72" s="288"/>
      <c r="K72" s="288"/>
      <c r="L72" s="288"/>
      <c r="M72" s="288"/>
      <c r="N72" s="288"/>
      <c r="O72" s="288"/>
      <c r="P72" s="288"/>
      <c r="Q72" s="288"/>
      <c r="R72" s="288"/>
      <c r="S72" s="288"/>
      <c r="T72" s="288"/>
      <c r="U72" s="288"/>
      <c r="V72" s="288"/>
      <c r="W72" s="288"/>
      <c r="X72" s="288"/>
      <c r="Y72" s="288"/>
      <c r="Z72" s="288"/>
      <c r="AA72" s="288"/>
    </row>
    <row r="73" spans="1:27">
      <c r="A73" s="288"/>
      <c r="B73" s="263" t="str">
        <f>IF('Język - Language'!$B$30="Polski","MIASTO","CITY")</f>
        <v>MIASTO</v>
      </c>
      <c r="C73" s="1139" t="str">
        <f>IF('Język - Language'!$B$30="Polski","wybrane miasto","selected city")</f>
        <v>wybrane miasto</v>
      </c>
      <c r="D73" s="1140"/>
      <c r="E73" s="69"/>
      <c r="F73" s="69"/>
      <c r="G73" s="69"/>
      <c r="H73" s="288"/>
      <c r="I73" s="288"/>
      <c r="J73" s="288"/>
      <c r="K73" s="288"/>
      <c r="L73" s="288"/>
      <c r="M73" s="288"/>
      <c r="N73" s="288"/>
      <c r="O73" s="288"/>
      <c r="P73" s="288"/>
      <c r="Q73" s="288"/>
      <c r="R73" s="288"/>
      <c r="S73" s="288"/>
      <c r="T73" s="288"/>
      <c r="U73" s="288"/>
      <c r="V73" s="288"/>
      <c r="W73" s="288"/>
      <c r="X73" s="288"/>
      <c r="Y73" s="288"/>
      <c r="Z73" s="288"/>
      <c r="AA73" s="288"/>
    </row>
    <row r="74" spans="1:27">
      <c r="A74" s="288"/>
      <c r="B74" s="305"/>
      <c r="C74" s="305"/>
      <c r="D74" s="305"/>
      <c r="E74" s="288"/>
      <c r="F74" s="288"/>
      <c r="G74" s="288"/>
      <c r="H74" s="288"/>
      <c r="I74" s="288"/>
      <c r="J74" s="288"/>
      <c r="K74" s="288"/>
      <c r="L74" s="288"/>
      <c r="M74" s="288"/>
      <c r="N74" s="288"/>
      <c r="O74" s="288"/>
      <c r="P74" s="288"/>
      <c r="Q74" s="288"/>
      <c r="R74" s="288"/>
      <c r="S74" s="288"/>
      <c r="T74" s="288"/>
      <c r="U74" s="288"/>
      <c r="V74" s="288"/>
      <c r="W74" s="288"/>
      <c r="X74" s="288"/>
      <c r="Y74" s="288"/>
      <c r="Z74" s="288"/>
      <c r="AA74" s="288"/>
    </row>
    <row r="75" spans="1:27" s="288" customFormat="1">
      <c r="B75" s="305"/>
      <c r="C75" s="305"/>
      <c r="D75" s="305"/>
    </row>
    <row r="76" spans="1:27" s="288" customFormat="1" ht="25.5" customHeight="1">
      <c r="A76" s="286"/>
      <c r="B76" s="1134" t="str">
        <f>IF('Język - Language'!$B$30="Polski","KRYTERIA TARGETOWANIA KAMPANII DATAPOWER","DATAPOWER TARGETING CRITERIA FOR DISPLAY AND MAILING CAMPAIGNS")</f>
        <v>KRYTERIA TARGETOWANIA KAMPANII DATAPOWER</v>
      </c>
      <c r="C76" s="1134"/>
      <c r="D76" s="1135"/>
      <c r="E76" s="10"/>
      <c r="F76" s="10"/>
      <c r="G76" s="10"/>
    </row>
    <row r="77" spans="1:27" s="288" customFormat="1">
      <c r="A77" s="286"/>
      <c r="B77" s="651" t="str">
        <f>IF('Język - Language'!$B$30="Polski","KATEGORIA","CATEGORY")</f>
        <v>KATEGORIA</v>
      </c>
      <c r="C77" s="651" t="str">
        <f>IF('Język - Language'!$B$30="Polski","SUBKATEGORIE","SUBCATEGORIES")</f>
        <v>SUBKATEGORIE</v>
      </c>
      <c r="D77" s="652" t="str">
        <f>IF('Język - Language'!$B$30="Polski","DOPŁATA","EXTRA CHARGE")</f>
        <v>DOPŁATA</v>
      </c>
      <c r="E77" s="11"/>
      <c r="F77" s="11"/>
      <c r="G77" s="11"/>
    </row>
    <row r="78" spans="1:27" s="288" customFormat="1" ht="30" customHeight="1">
      <c r="B78" s="262" t="str">
        <f>IF('Język - Language'!$B$30="Polski","WPM ZASIĘG","WPM REACH PACKAGE")</f>
        <v>WPM ZASIĘG</v>
      </c>
      <c r="C78" s="666" t="s">
        <v>254</v>
      </c>
      <c r="D78" s="1136" t="s">
        <v>76</v>
      </c>
      <c r="E78" s="68"/>
      <c r="F78" s="68"/>
      <c r="G78" s="68"/>
    </row>
    <row r="79" spans="1:27" s="288" customFormat="1" ht="25.5" customHeight="1">
      <c r="B79" s="262" t="str">
        <f>IF('Język - Language'!$B$30="Polski","PREMIUM HP","PREMIUM HOME PAGE")</f>
        <v>PREMIUM HP</v>
      </c>
      <c r="C79" s="665" t="s">
        <v>253</v>
      </c>
      <c r="D79" s="1137"/>
      <c r="E79" s="68"/>
      <c r="F79" s="68"/>
      <c r="G79" s="68"/>
    </row>
    <row r="80" spans="1:27" s="288" customFormat="1" ht="25.5" customHeight="1">
      <c r="B80" s="262" t="str">
        <f>IF('Język - Language'!$B$30="Polski","BIZNES","BUSINESS")</f>
        <v>BIZNES</v>
      </c>
      <c r="C80" s="653" t="s">
        <v>243</v>
      </c>
      <c r="D80" s="1137"/>
      <c r="E80" s="68"/>
      <c r="F80" s="68"/>
      <c r="G80" s="68"/>
    </row>
    <row r="81" spans="2:27" s="288" customFormat="1" ht="25.5" customHeight="1">
      <c r="B81" s="263" t="str">
        <f>IF('Język - Language'!$B$30="Polski","INFO I SPORT","NEWS &amp; SPORT")</f>
        <v>INFO I SPORT</v>
      </c>
      <c r="C81" s="654" t="s">
        <v>244</v>
      </c>
      <c r="D81" s="1137"/>
      <c r="E81" s="68"/>
      <c r="F81" s="68"/>
      <c r="G81" s="68"/>
    </row>
    <row r="82" spans="2:27" s="288" customFormat="1" ht="25.5" customHeight="1">
      <c r="B82" s="263" t="str">
        <f>IF('Język - Language'!$B$30="Polski","MOTORYZACJA","AUTOMOTIVE")</f>
        <v>MOTORYZACJA</v>
      </c>
      <c r="C82" s="655" t="s">
        <v>245</v>
      </c>
      <c r="D82" s="1137"/>
      <c r="E82" s="37"/>
      <c r="F82" s="37"/>
      <c r="G82" s="37"/>
    </row>
    <row r="83" spans="2:27" s="288" customFormat="1" ht="25.5" customHeight="1">
      <c r="B83" s="263" t="str">
        <f>IF('Język - Language'!$B$30="Polski","ROZRYWKA","ENTERTAINMENT")</f>
        <v>ROZRYWKA</v>
      </c>
      <c r="C83" s="655" t="s">
        <v>246</v>
      </c>
      <c r="D83" s="1137"/>
      <c r="E83" s="37"/>
      <c r="F83" s="37"/>
      <c r="G83" s="37"/>
    </row>
    <row r="84" spans="2:27" s="288" customFormat="1" ht="25.5" customHeight="1">
      <c r="B84" s="263" t="str">
        <f>IF('Język - Language'!$B$30="Polski","STYL ŻYCIA","LIFESTYLE")</f>
        <v>STYL ŻYCIA</v>
      </c>
      <c r="C84" s="655" t="s">
        <v>247</v>
      </c>
      <c r="D84" s="1137"/>
      <c r="E84" s="37"/>
      <c r="F84" s="37"/>
      <c r="G84" s="37"/>
    </row>
    <row r="85" spans="2:27" s="288" customFormat="1" ht="25.5" customHeight="1">
      <c r="B85" s="264" t="str">
        <f>IF('Język - Language'!$B$30="Polski","TECHNOLOGIA","TECHNOLOGY")</f>
        <v>TECHNOLOGIA</v>
      </c>
      <c r="C85" s="656" t="s">
        <v>248</v>
      </c>
      <c r="D85" s="1137"/>
      <c r="E85" s="37"/>
      <c r="F85" s="37"/>
      <c r="G85" s="37"/>
      <c r="AA85" s="288" t="str">
        <f>IF('Język - Language'!$B$30="Polski","budownictwo / architektura, dystrybucja / logistyka, edukacja / badania naukowe, finanse / bankowość / ubezpieczenia, gastronomia / hotelarstwo / turystyka / sport, handel hurtowy i detaliczny, instytucje rządowe i samorządowe, łączność /","housing / architecture, distribution / logistics, education / scientific research, banking / finance / insurance, gastronomy / accommodation / tourism / sport, retail and wholesale trading, governmental institutions, connectivity /")</f>
        <v>budownictwo / architektura, dystrybucja / logistyka, edukacja / badania naukowe, finanse / bankowość / ubezpieczenia, gastronomia / hotelarstwo / turystyka / sport, handel hurtowy i detaliczny, instytucje rządowe i samorządowe, łączność /</v>
      </c>
    </row>
    <row r="86" spans="2:27" s="288" customFormat="1" ht="25.5" customHeight="1">
      <c r="B86" s="264" t="str">
        <f>IF('Język - Language'!$B$30="Polski","ZDROWIE I PARENTING","HEALTH &amp; PARENTING")</f>
        <v>ZDROWIE I PARENTING</v>
      </c>
      <c r="C86" s="655" t="s">
        <v>249</v>
      </c>
      <c r="D86" s="1137"/>
      <c r="E86" s="37"/>
      <c r="F86" s="37"/>
      <c r="G86" s="37"/>
      <c r="AA86" s="288" t="str">
        <f>IF('Język - Language'!$B$30="Polski"," telekomunikacja, media / kultura i sztuka / rozrywka, medycyna / ochrona zdrowia, produkcja, rachunkowość / audyt, usługi dla firm / ludności, usługi internetowe/komputerowe, usługi prawne / konsulting"," telecommunication, media / arts and culture / entertainment, medicine / health security, production, accounting / auditing, services B2B / B2C, computer / internet services, legal services / consulting)")</f>
        <v xml:space="preserve"> telekomunikacja, media / kultura i sztuka / rozrywka, medycyna / ochrona zdrowia, produkcja, rachunkowość / audyt, usługi dla firm / ludności, usługi internetowe/komputerowe, usługi prawne / konsulting</v>
      </c>
    </row>
    <row r="87" spans="2:27" s="288" customFormat="1" ht="25.5" customHeight="1">
      <c r="B87" s="264" t="str">
        <f>IF('Język - Language'!$B$30="Polski","PAKIET GEO","GEOTARGETING PACKAGE")</f>
        <v>PAKIET GEO</v>
      </c>
      <c r="C87" s="655" t="s">
        <v>250</v>
      </c>
      <c r="D87" s="1138"/>
      <c r="E87" s="37"/>
      <c r="F87" s="37"/>
      <c r="G87" s="37"/>
    </row>
    <row r="88" spans="2:27" s="288" customFormat="1" ht="52.5" customHeight="1">
      <c r="B88" s="264" t="str">
        <f>IF('Język - Language'!$B$30="Polski","PAKIET PREMIUM","PREMIUM PACKAGE")</f>
        <v>PAKIET PREMIUM</v>
      </c>
      <c r="C88" s="655" t="s">
        <v>251</v>
      </c>
      <c r="D88" s="657" t="s">
        <v>75</v>
      </c>
      <c r="E88" s="37"/>
      <c r="F88" s="37"/>
      <c r="G88" s="37"/>
      <c r="AA88" s="288" t="str">
        <f>IF('Język - Language'!$B$30="Polski"," telekomunikacja, media / kultura i sztuka / rozrywka, medycyna / ochrona zdrowia, produkcja, rachunkowość / audyt, usługi dla firm / ludności, usługi internetowe/komputerowe, usługi prawne / konsulting"," telecommunication, media / arts and culture / entertainment, medicine / health security, production, accounting / auditing, services B2B / B2C, computer / internet services, legal services / consulting)")</f>
        <v xml:space="preserve"> telekomunikacja, media / kultura i sztuka / rozrywka, medycyna / ochrona zdrowia, produkcja, rachunkowość / audyt, usługi dla firm / ludności, usługi internetowe/komputerowe, usługi prawne / konsulting</v>
      </c>
    </row>
    <row r="89" spans="2:27" s="288" customFormat="1" ht="25.5" customHeight="1">
      <c r="B89" s="264" t="str">
        <f>IF('Język - Language'!$B$30="Polski","PAKIET PLUS","PLUS PACKAGE")</f>
        <v>PAKIET PLUS</v>
      </c>
      <c r="C89" s="655" t="s">
        <v>252</v>
      </c>
      <c r="D89" s="657" t="s">
        <v>76</v>
      </c>
      <c r="E89" s="37"/>
      <c r="F89" s="37"/>
      <c r="G89" s="37"/>
    </row>
    <row r="90" spans="2:27" s="288" customFormat="1">
      <c r="B90" s="305"/>
      <c r="C90" s="305"/>
      <c r="D90" s="305"/>
    </row>
    <row r="91" spans="2:27" s="288" customFormat="1">
      <c r="B91" s="1129"/>
      <c r="C91" s="1129"/>
      <c r="D91" s="1129"/>
    </row>
    <row r="92" spans="2:27" s="288" customFormat="1" ht="12.75" customHeight="1">
      <c r="B92" s="1128" t="str">
        <f>IF('Język - Language'!$B$30="Polski","1. Kliknięcie w wybraną formę reklamową (poza watermarkiem) powoduje automatyczne przejście do reklamowanego serwisu.","1. Clicking in a selected advertising form (except for a watermark) triggers automatic passing to the advertising site.")</f>
        <v>1. Kliknięcie w wybraną formę reklamową (poza watermarkiem) powoduje automatyczne przejście do reklamowanego serwisu.</v>
      </c>
      <c r="C92" s="1128"/>
      <c r="D92" s="1128"/>
    </row>
    <row r="93" spans="2:27" s="288" customFormat="1" ht="12.75" customHeight="1">
      <c r="B93" s="1128" t="str">
        <f>IF('Język - Language'!$B$30="Polski","2. Liczba kontaktów użytkownika z reklamą oraz liczba kliknięć w wybraną formę reklamową jest rejestrowana w statystykach. Statystyki dostępne są “on line” przez 24 godziny na dobę.","2. The number of times a user is exposed to an advertisement and the number of clicks in a selected advertising form is registered in the records. The statistics are available “on line” 24 hours a day.")</f>
        <v>2. Liczba kontaktów użytkownika z reklamą oraz liczba kliknięć w wybraną formę reklamową jest rejestrowana w statystykach. Statystyki dostępne są “on line” przez 24 godziny na dobę.</v>
      </c>
      <c r="C93" s="1128"/>
      <c r="D93" s="1128"/>
    </row>
    <row r="94" spans="2:27" s="288" customFormat="1" ht="25.5" customHeight="1">
      <c r="B94" s="1128" t="str">
        <f>IF('Język - Language'!$B$30="Polski","3. Istnieje możliwość, że niektóre serwisy Grupy WP przestaną emitować wybrane formy reklamowe z powodów technicznych. Prosimy o każdorazowe potwierdzenie możliwości emisji reklam w poszczególnych serwisach. ","3. It might happen that certain sites will cease displaying some advertising forms due to technical reasons. This is why the possibility of displaying advertisements in particular sites should be confirmed each and every time.")</f>
        <v xml:space="preserve">3. Istnieje możliwość, że niektóre serwisy Grupy WP przestaną emitować wybrane formy reklamowe z powodów technicznych. Prosimy o każdorazowe potwierdzenie możliwości emisji reklam w poszczególnych serwisach. </v>
      </c>
      <c r="C94" s="1128"/>
      <c r="D94" s="1128"/>
    </row>
    <row r="95" spans="2:27" s="288" customFormat="1" ht="12.75" customHeight="1">
      <c r="B95" s="1128" t="str">
        <f>IF('Język - Language'!$B$30="Polski","4. Nośniki muszą spełniać warunki techniczne przedstawione w specyfikacji technicznej, pod rygorem nie przyjęcia materiału do emisji","4. The ad forms must comply with the technical conditions set forth in technical specifications; otherwise the material will not be accepted for displaying.")</f>
        <v>4. Nośniki muszą spełniać warunki techniczne przedstawione w specyfikacji technicznej, pod rygorem nie przyjęcia materiału do emisji</v>
      </c>
      <c r="C95" s="1128"/>
      <c r="D95" s="1128"/>
    </row>
    <row r="96" spans="2:27" s="288" customFormat="1" ht="12.75" customHeight="1">
      <c r="B96" s="1128" t="str">
        <f>IF('Język - Language'!$B$30="Polski","5. Dopłata za każde wybrane kryterium targetowania demograficznego to 25% Wyjątek stanowi geotargetowanie – dopłata +50 %  W przypadku wybrania kilku kryteriów, procenty sumują się.","5. Additional payments for each selected demographic targeting criterion are 25%, with the exception of geotargeting (in this particular case the additional payment is +50 %). If a few criteria are selected, the percentage is summed up.")</f>
        <v>5. Dopłata za każde wybrane kryterium targetowania demograficznego to 25% Wyjątek stanowi geotargetowanie – dopłata +50 %  W przypadku wybrania kilku kryteriów, procenty sumują się.</v>
      </c>
      <c r="C96" s="1128"/>
      <c r="D96" s="1128"/>
    </row>
  </sheetData>
  <mergeCells count="78">
    <mergeCell ref="B59:C59"/>
    <mergeCell ref="C70:D70"/>
    <mergeCell ref="C64:D64"/>
    <mergeCell ref="C66:D66"/>
    <mergeCell ref="B62:D62"/>
    <mergeCell ref="C68:D68"/>
    <mergeCell ref="C69:D69"/>
    <mergeCell ref="B15:C15"/>
    <mergeCell ref="B24:C24"/>
    <mergeCell ref="B21:C21"/>
    <mergeCell ref="B22:C22"/>
    <mergeCell ref="B48:C48"/>
    <mergeCell ref="B23:C23"/>
    <mergeCell ref="B43:C43"/>
    <mergeCell ref="B34:C34"/>
    <mergeCell ref="B41:C41"/>
    <mergeCell ref="B31:C31"/>
    <mergeCell ref="B46:C46"/>
    <mergeCell ref="B42:C42"/>
    <mergeCell ref="B45:C45"/>
    <mergeCell ref="B28:C28"/>
    <mergeCell ref="B25:C25"/>
    <mergeCell ref="C1:D3"/>
    <mergeCell ref="B9:C9"/>
    <mergeCell ref="B7:C7"/>
    <mergeCell ref="B10:C10"/>
    <mergeCell ref="B11:C11"/>
    <mergeCell ref="B8:C8"/>
    <mergeCell ref="B51:C51"/>
    <mergeCell ref="B54:C54"/>
    <mergeCell ref="B47:C47"/>
    <mergeCell ref="B44:C44"/>
    <mergeCell ref="B32:C32"/>
    <mergeCell ref="B19:C19"/>
    <mergeCell ref="I20:K20"/>
    <mergeCell ref="B49:C49"/>
    <mergeCell ref="B50:C50"/>
    <mergeCell ref="B29:C29"/>
    <mergeCell ref="B26:C26"/>
    <mergeCell ref="B33:C33"/>
    <mergeCell ref="B27:C27"/>
    <mergeCell ref="B55:C55"/>
    <mergeCell ref="B56:C56"/>
    <mergeCell ref="B52:C52"/>
    <mergeCell ref="B53:C53"/>
    <mergeCell ref="B57:C57"/>
    <mergeCell ref="B96:D96"/>
    <mergeCell ref="B91:D91"/>
    <mergeCell ref="B92:D92"/>
    <mergeCell ref="B93:D93"/>
    <mergeCell ref="B58:C58"/>
    <mergeCell ref="C71:D71"/>
    <mergeCell ref="C67:D67"/>
    <mergeCell ref="B60:C60"/>
    <mergeCell ref="B95:D95"/>
    <mergeCell ref="B76:D76"/>
    <mergeCell ref="D78:D87"/>
    <mergeCell ref="B94:D94"/>
    <mergeCell ref="C73:D73"/>
    <mergeCell ref="C63:D63"/>
    <mergeCell ref="C65:D65"/>
    <mergeCell ref="C72:D72"/>
    <mergeCell ref="I11:K11"/>
    <mergeCell ref="I12:K12"/>
    <mergeCell ref="I21:K21"/>
    <mergeCell ref="B12:C12"/>
    <mergeCell ref="I22:K22"/>
    <mergeCell ref="I18:K18"/>
    <mergeCell ref="B18:C18"/>
    <mergeCell ref="I14:K14"/>
    <mergeCell ref="B17:C17"/>
    <mergeCell ref="I13:K13"/>
    <mergeCell ref="B20:C20"/>
    <mergeCell ref="B14:C14"/>
    <mergeCell ref="B16:C16"/>
    <mergeCell ref="B13:C13"/>
    <mergeCell ref="I16:K16"/>
    <mergeCell ref="I19:K19"/>
  </mergeCells>
  <pageMargins left="0.7" right="0.7" top="0.75" bottom="0.75" header="0.3" footer="0.3"/>
  <pageSetup paperSize="256" scale="80" fitToHeight="0" orientation="portrait" r:id="rId1"/>
  <ignoredErrors>
    <ignoredError sqref="D45:D46 D30 D35:D40 D50:D57 D59:D60 D23:D27 D32:D33 D8:D22 D47:D48 D78 D88:D89" numberStoredAsText="1"/>
    <ignoredError sqref="D43 B87:B88"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10</vt:i4>
      </vt:variant>
    </vt:vector>
  </HeadingPairs>
  <TitlesOfParts>
    <vt:vector size="10" baseType="lpstr">
      <vt:lpstr>Język - Language</vt:lpstr>
      <vt:lpstr>Multiscreen</vt:lpstr>
      <vt:lpstr>Mobile</vt:lpstr>
      <vt:lpstr>Desktop Flat Fee</vt:lpstr>
      <vt:lpstr>Serwisy &amp; Pakiety</vt:lpstr>
      <vt:lpstr>Wideo &amp; Audio</vt:lpstr>
      <vt:lpstr>Poczta - Email service</vt:lpstr>
      <vt:lpstr>Content Marketing</vt:lpstr>
      <vt:lpstr>Dopłaty - Extra charges</vt:lpstr>
      <vt:lpstr>Docs</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2019-11-15T11:20:30Z</dcterms:modified>
</cp:coreProperties>
</file>