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en_skoroszyt"/>
  <xr:revisionPtr revIDLastSave="0" documentId="13_ncr:1_{61C2F114-D9CC-444F-9795-3E04F5222FC4}" xr6:coauthVersionLast="45" xr6:coauthVersionMax="45" xr10:uidLastSave="{00000000-0000-0000-0000-000000000000}"/>
  <bookViews>
    <workbookView xWindow="390" yWindow="390" windowWidth="26430" windowHeight="17115" tabRatio="851" activeTab="1" xr2:uid="{00000000-000D-0000-FFFF-FFFF00000000}"/>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Content Marketing" sheetId="17" r:id="rId8"/>
    <sheet name="Dopłaty - Extra charges" sheetId="2" r:id="rId9"/>
    <sheet name="Docs" sheetId="13" r:id="rId10"/>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12" l="1"/>
  <c r="D111" i="12" l="1"/>
  <c r="D97" i="12"/>
  <c r="R100" i="12"/>
  <c r="R89" i="12"/>
  <c r="P100" i="12"/>
  <c r="P89" i="12"/>
  <c r="N100" i="12"/>
  <c r="N89" i="12"/>
  <c r="J100" i="12"/>
  <c r="J89" i="12"/>
  <c r="H100" i="12"/>
  <c r="H89" i="12"/>
  <c r="F100" i="12"/>
  <c r="F89" i="12"/>
  <c r="R59" i="12"/>
  <c r="P59" i="12"/>
  <c r="N59" i="12"/>
  <c r="J59" i="12"/>
  <c r="H59" i="12"/>
  <c r="F59" i="12"/>
  <c r="D68" i="12"/>
  <c r="R108" i="12" l="1"/>
  <c r="P108" i="12"/>
  <c r="R110" i="12"/>
  <c r="R109" i="12"/>
  <c r="R107" i="12"/>
  <c r="R106" i="12"/>
  <c r="R105" i="12"/>
  <c r="R104" i="12"/>
  <c r="R103" i="12"/>
  <c r="R102" i="12"/>
  <c r="R101" i="12"/>
  <c r="R99" i="12"/>
  <c r="R98" i="12"/>
  <c r="P110" i="12"/>
  <c r="P109" i="12"/>
  <c r="P107" i="12"/>
  <c r="P106" i="12"/>
  <c r="P105" i="12"/>
  <c r="P104" i="12"/>
  <c r="P103" i="12"/>
  <c r="P102" i="12"/>
  <c r="P101" i="12"/>
  <c r="P99" i="12"/>
  <c r="P98" i="12"/>
  <c r="R96" i="12"/>
  <c r="R95" i="12"/>
  <c r="R94" i="12"/>
  <c r="R93" i="12"/>
  <c r="R92" i="12"/>
  <c r="R91" i="12"/>
  <c r="R90" i="12"/>
  <c r="R88" i="12"/>
  <c r="R87" i="12"/>
  <c r="R86" i="12"/>
  <c r="P96" i="12"/>
  <c r="P95" i="12"/>
  <c r="P94" i="12"/>
  <c r="P93" i="12"/>
  <c r="P92" i="12"/>
  <c r="P91" i="12"/>
  <c r="P90" i="12"/>
  <c r="P88" i="12"/>
  <c r="P87" i="12"/>
  <c r="P86" i="12"/>
  <c r="R80" i="12"/>
  <c r="R79" i="12"/>
  <c r="R78" i="12"/>
  <c r="R77" i="12"/>
  <c r="R76" i="12"/>
  <c r="P80" i="12"/>
  <c r="P79" i="12"/>
  <c r="P78" i="12"/>
  <c r="P77" i="12"/>
  <c r="P76" i="12"/>
  <c r="R74" i="12"/>
  <c r="R73" i="12"/>
  <c r="R72" i="12"/>
  <c r="R71" i="12"/>
  <c r="R70" i="12"/>
  <c r="R69" i="12"/>
  <c r="P74" i="12"/>
  <c r="P73" i="12"/>
  <c r="P72" i="12"/>
  <c r="P71" i="12"/>
  <c r="P70" i="12"/>
  <c r="P69" i="12"/>
  <c r="R67" i="12"/>
  <c r="R66" i="12"/>
  <c r="R65" i="12"/>
  <c r="R64" i="12"/>
  <c r="R63" i="12"/>
  <c r="R62" i="12"/>
  <c r="R61" i="12"/>
  <c r="R60" i="12"/>
  <c r="R58" i="12"/>
  <c r="P67" i="12"/>
  <c r="P65" i="12"/>
  <c r="P66" i="12"/>
  <c r="P64" i="12"/>
  <c r="P63" i="12"/>
  <c r="P62" i="12"/>
  <c r="P61" i="12"/>
  <c r="P60" i="12"/>
  <c r="P58" i="12"/>
  <c r="R56" i="12"/>
  <c r="R54" i="12"/>
  <c r="R53" i="12"/>
  <c r="R52" i="12"/>
  <c r="R55" i="12"/>
  <c r="R51" i="12"/>
  <c r="R50" i="12"/>
  <c r="R49" i="12"/>
  <c r="R48" i="12"/>
  <c r="R47" i="12"/>
  <c r="R46" i="12"/>
  <c r="P56" i="12"/>
  <c r="P54" i="12"/>
  <c r="P53" i="12"/>
  <c r="P52" i="12"/>
  <c r="P55" i="12"/>
  <c r="P51" i="12"/>
  <c r="P50" i="12"/>
  <c r="P49" i="12"/>
  <c r="P48" i="12"/>
  <c r="P47" i="12"/>
  <c r="P46" i="12"/>
  <c r="R44" i="12"/>
  <c r="R43" i="12"/>
  <c r="P44" i="12"/>
  <c r="P43" i="12"/>
  <c r="R41" i="12"/>
  <c r="R40" i="12"/>
  <c r="R39" i="12"/>
  <c r="R38" i="12"/>
  <c r="R37" i="12"/>
  <c r="P41" i="12"/>
  <c r="P40" i="12"/>
  <c r="P39" i="12"/>
  <c r="P38" i="12"/>
  <c r="R35" i="12"/>
  <c r="R34" i="12"/>
  <c r="P37" i="12"/>
  <c r="P35" i="12"/>
  <c r="P34" i="12"/>
  <c r="N47" i="12" l="1"/>
  <c r="J47" i="12"/>
  <c r="H47" i="12"/>
  <c r="F47" i="12"/>
  <c r="D81" i="12" l="1"/>
  <c r="D17" i="4" s="1"/>
  <c r="C11" i="16" l="1"/>
  <c r="N110" i="12" l="1"/>
  <c r="N109" i="12"/>
  <c r="N107" i="12"/>
  <c r="N106" i="12"/>
  <c r="N105" i="12"/>
  <c r="N104" i="12"/>
  <c r="N103" i="12"/>
  <c r="N102" i="12"/>
  <c r="N101" i="12"/>
  <c r="N99" i="12"/>
  <c r="N98" i="12"/>
  <c r="J110" i="12"/>
  <c r="J109" i="12"/>
  <c r="J108" i="12"/>
  <c r="J107" i="12"/>
  <c r="J106" i="12"/>
  <c r="J105" i="12"/>
  <c r="J104" i="12"/>
  <c r="J103" i="12"/>
  <c r="J102" i="12"/>
  <c r="J101" i="12"/>
  <c r="J99" i="12"/>
  <c r="J98" i="12"/>
  <c r="H110" i="12"/>
  <c r="H109" i="12"/>
  <c r="H108" i="12"/>
  <c r="H107" i="12"/>
  <c r="H106" i="12"/>
  <c r="H105" i="12"/>
  <c r="H104" i="12"/>
  <c r="H103" i="12"/>
  <c r="H102" i="12"/>
  <c r="H101" i="12"/>
  <c r="H99" i="12"/>
  <c r="H98" i="12"/>
  <c r="F110" i="12"/>
  <c r="F109" i="12"/>
  <c r="F108" i="12"/>
  <c r="F107" i="12"/>
  <c r="F106" i="12"/>
  <c r="F105" i="12"/>
  <c r="F104" i="12"/>
  <c r="F103" i="12"/>
  <c r="F102" i="12"/>
  <c r="F101" i="12"/>
  <c r="F99" i="12"/>
  <c r="F98" i="12"/>
  <c r="N96" i="12"/>
  <c r="N95" i="12"/>
  <c r="N94" i="12"/>
  <c r="N93" i="12"/>
  <c r="N92" i="12"/>
  <c r="N91" i="12"/>
  <c r="N90" i="12"/>
  <c r="N88" i="12"/>
  <c r="N87" i="12"/>
  <c r="N86" i="12"/>
  <c r="J96" i="12"/>
  <c r="J95" i="12"/>
  <c r="J94" i="12"/>
  <c r="J93" i="12"/>
  <c r="J92" i="12"/>
  <c r="J91" i="12"/>
  <c r="J90" i="12"/>
  <c r="J88" i="12"/>
  <c r="J87" i="12"/>
  <c r="J86" i="12"/>
  <c r="H96" i="12" l="1"/>
  <c r="H95" i="12"/>
  <c r="H94" i="12"/>
  <c r="H93" i="12"/>
  <c r="H92" i="12"/>
  <c r="H91" i="12"/>
  <c r="H90" i="12"/>
  <c r="H88" i="12"/>
  <c r="H87" i="12"/>
  <c r="H86" i="12"/>
  <c r="F96" i="12"/>
  <c r="F95" i="12"/>
  <c r="F94" i="12"/>
  <c r="F93" i="12"/>
  <c r="F92" i="12"/>
  <c r="F91" i="12"/>
  <c r="F90" i="12"/>
  <c r="F88" i="12"/>
  <c r="F87" i="12"/>
  <c r="F86" i="12"/>
  <c r="J84" i="12"/>
  <c r="J83" i="12"/>
  <c r="J82" i="12"/>
  <c r="H84" i="12"/>
  <c r="H83" i="12"/>
  <c r="H82" i="12"/>
  <c r="F84" i="12"/>
  <c r="F83" i="12"/>
  <c r="F82" i="12"/>
  <c r="N80" i="12"/>
  <c r="N79" i="12"/>
  <c r="N78" i="12"/>
  <c r="N77" i="12"/>
  <c r="N76" i="12"/>
  <c r="J80" i="12"/>
  <c r="J79" i="12"/>
  <c r="J78" i="12"/>
  <c r="J77" i="12"/>
  <c r="J76" i="12"/>
  <c r="H80" i="12"/>
  <c r="H79" i="12"/>
  <c r="H78" i="12"/>
  <c r="H77" i="12"/>
  <c r="H76" i="12"/>
  <c r="F80" i="12"/>
  <c r="F79" i="12"/>
  <c r="F78" i="12"/>
  <c r="F77" i="12"/>
  <c r="F76" i="12"/>
  <c r="N74" i="12" l="1"/>
  <c r="N73" i="12"/>
  <c r="N72" i="12"/>
  <c r="N71" i="12"/>
  <c r="N70" i="12"/>
  <c r="N69" i="12"/>
  <c r="J74" i="12"/>
  <c r="J73" i="12"/>
  <c r="J72" i="12"/>
  <c r="J71" i="12"/>
  <c r="J70" i="12"/>
  <c r="J69" i="12"/>
  <c r="H74" i="12"/>
  <c r="H73" i="12"/>
  <c r="H72" i="12"/>
  <c r="H71" i="12"/>
  <c r="H70" i="12"/>
  <c r="H69" i="12"/>
  <c r="F74" i="12"/>
  <c r="F73" i="12"/>
  <c r="F72" i="12"/>
  <c r="F71" i="12"/>
  <c r="F70" i="12"/>
  <c r="F69" i="12"/>
  <c r="N65" i="12"/>
  <c r="N66" i="12"/>
  <c r="N64" i="12"/>
  <c r="N63" i="12"/>
  <c r="N62" i="12"/>
  <c r="N61" i="12"/>
  <c r="N60" i="12"/>
  <c r="N58" i="12"/>
  <c r="J65" i="12"/>
  <c r="J67" i="12"/>
  <c r="J66" i="12"/>
  <c r="J64" i="12"/>
  <c r="J63" i="12"/>
  <c r="J62" i="12"/>
  <c r="J61" i="12"/>
  <c r="J60" i="12"/>
  <c r="J58" i="12"/>
  <c r="H65" i="12"/>
  <c r="H67" i="12"/>
  <c r="H66" i="12"/>
  <c r="H64" i="12"/>
  <c r="H63" i="12"/>
  <c r="H62" i="12"/>
  <c r="H61" i="12"/>
  <c r="H60" i="12"/>
  <c r="H58" i="12"/>
  <c r="F67" i="12"/>
  <c r="F66" i="12"/>
  <c r="F65" i="12"/>
  <c r="F64" i="12"/>
  <c r="F63" i="12"/>
  <c r="F62" i="12"/>
  <c r="F61" i="12"/>
  <c r="F60" i="12"/>
  <c r="F58" i="12"/>
  <c r="N54" i="12"/>
  <c r="N55" i="12"/>
  <c r="N51" i="12"/>
  <c r="N50" i="12"/>
  <c r="N49" i="12"/>
  <c r="N48" i="12"/>
  <c r="N46" i="12"/>
  <c r="J56" i="12"/>
  <c r="J54" i="12"/>
  <c r="J53" i="12"/>
  <c r="J52" i="12"/>
  <c r="J55" i="12"/>
  <c r="J51" i="12"/>
  <c r="J50" i="12"/>
  <c r="J49" i="12"/>
  <c r="J48" i="12"/>
  <c r="J46" i="12"/>
  <c r="H56" i="12" l="1"/>
  <c r="H55" i="12"/>
  <c r="H54" i="12"/>
  <c r="H53" i="12"/>
  <c r="H52" i="12"/>
  <c r="H51" i="12"/>
  <c r="H50" i="12"/>
  <c r="H49" i="12"/>
  <c r="H48" i="12"/>
  <c r="H46" i="12"/>
  <c r="F56" i="12" l="1"/>
  <c r="F55" i="12"/>
  <c r="F54" i="12"/>
  <c r="F53" i="12"/>
  <c r="F52" i="12"/>
  <c r="F51" i="12"/>
  <c r="F50" i="12"/>
  <c r="F49" i="12"/>
  <c r="F48" i="12"/>
  <c r="F46" i="12"/>
  <c r="N44" i="12"/>
  <c r="N43" i="12"/>
  <c r="J44" i="12"/>
  <c r="J43" i="12"/>
  <c r="H44" i="12"/>
  <c r="H43" i="12"/>
  <c r="F44" i="12"/>
  <c r="F43" i="12"/>
  <c r="N41" i="12" l="1"/>
  <c r="N40" i="12"/>
  <c r="N39" i="12"/>
  <c r="N38" i="12"/>
  <c r="N37" i="12"/>
  <c r="J41" i="12"/>
  <c r="J40" i="12"/>
  <c r="J39" i="12"/>
  <c r="J38" i="12"/>
  <c r="J37" i="12"/>
  <c r="H41" i="12"/>
  <c r="H40" i="12"/>
  <c r="H39" i="12"/>
  <c r="H38" i="12"/>
  <c r="H37" i="12"/>
  <c r="F41" i="12"/>
  <c r="F40" i="12"/>
  <c r="F39" i="12"/>
  <c r="F38" i="12"/>
  <c r="F37" i="12"/>
  <c r="N35" i="12"/>
  <c r="J35" i="12"/>
  <c r="H35" i="12"/>
  <c r="F35" i="12"/>
  <c r="N34" i="12"/>
  <c r="J34" i="12"/>
  <c r="F34" i="12" l="1"/>
  <c r="H34" i="12"/>
  <c r="D19" i="4" l="1"/>
  <c r="D15" i="4" l="1"/>
  <c r="D20" i="4" l="1"/>
  <c r="D85" i="12"/>
  <c r="D18" i="4" s="1"/>
  <c r="D75" i="12"/>
  <c r="D16" i="4" s="1"/>
  <c r="D14" i="4"/>
  <c r="D45" i="12"/>
  <c r="D13" i="4" s="1"/>
  <c r="D42" i="12"/>
  <c r="D36" i="12"/>
  <c r="D12" i="4" l="1"/>
  <c r="D11" i="4"/>
  <c r="C8" i="15" l="1"/>
  <c r="B30" i="15" l="1"/>
  <c r="I42" i="8" l="1"/>
  <c r="I61" i="8"/>
  <c r="I95" i="8"/>
  <c r="G95" i="8"/>
  <c r="I96" i="8"/>
  <c r="G96" i="8"/>
  <c r="F54" i="8"/>
  <c r="F55" i="8"/>
  <c r="C16" i="11"/>
  <c r="F14" i="10"/>
  <c r="D21" i="10"/>
  <c r="C21" i="10"/>
  <c r="F21" i="10"/>
  <c r="C30" i="4"/>
  <c r="H23" i="4"/>
  <c r="E23" i="4"/>
  <c r="F64" i="8"/>
  <c r="B64" i="8"/>
  <c r="F63" i="8"/>
  <c r="B63" i="8"/>
  <c r="F62" i="8"/>
  <c r="B62" i="8"/>
  <c r="F59" i="8"/>
  <c r="B59" i="8"/>
  <c r="F61" i="8"/>
  <c r="B61" i="8"/>
  <c r="B11" i="12"/>
  <c r="B34" i="8"/>
  <c r="I40" i="8"/>
  <c r="J40" i="8"/>
  <c r="F40" i="8"/>
  <c r="F34" i="8"/>
  <c r="B40" i="8"/>
  <c r="G31" i="10"/>
  <c r="G7" i="10"/>
  <c r="C7" i="10"/>
  <c r="E32" i="10"/>
  <c r="F119" i="12"/>
  <c r="H121" i="12"/>
  <c r="J121" i="12"/>
  <c r="F121" i="12"/>
  <c r="L119" i="12"/>
  <c r="J119" i="12"/>
  <c r="H119" i="12"/>
  <c r="C119" i="12"/>
  <c r="H120" i="12"/>
  <c r="D119" i="12"/>
  <c r="J88" i="8"/>
  <c r="J81" i="8"/>
  <c r="J68" i="8"/>
  <c r="J53" i="8"/>
  <c r="J78" i="8"/>
  <c r="B23" i="11"/>
  <c r="H8" i="10"/>
  <c r="G8" i="10"/>
  <c r="C48" i="17"/>
  <c r="C46" i="17"/>
  <c r="B33" i="17"/>
  <c r="D32" i="17"/>
  <c r="C27" i="17"/>
  <c r="F20" i="17"/>
  <c r="D19" i="17"/>
  <c r="H11" i="17"/>
  <c r="D10" i="17"/>
  <c r="C4" i="17"/>
  <c r="F31" i="17"/>
  <c r="E20" i="17"/>
  <c r="B11" i="17"/>
  <c r="G4" i="17"/>
  <c r="C43" i="17"/>
  <c r="D31" i="17"/>
  <c r="D20" i="17"/>
  <c r="C18" i="17"/>
  <c r="H10" i="17"/>
  <c r="F1" i="17"/>
  <c r="E32" i="17"/>
  <c r="G20" i="17"/>
  <c r="D15" i="17"/>
  <c r="D8" i="17"/>
  <c r="C52" i="17"/>
  <c r="C45" i="17"/>
  <c r="G32" i="17"/>
  <c r="F21" i="17"/>
  <c r="C19" i="17"/>
  <c r="H8" i="17"/>
  <c r="C51" i="17"/>
  <c r="F32" i="17"/>
  <c r="D21" i="17"/>
  <c r="F8" i="17"/>
  <c r="C50" i="17"/>
  <c r="C40" i="17"/>
  <c r="C31" i="17"/>
  <c r="F19" i="17"/>
  <c r="F10" i="17"/>
  <c r="F7" i="12"/>
  <c r="D16" i="16"/>
  <c r="D12" i="16"/>
  <c r="D15" i="16"/>
  <c r="J8" i="8"/>
  <c r="D11" i="16"/>
  <c r="I8" i="8"/>
  <c r="B73" i="2"/>
  <c r="B72" i="2"/>
  <c r="B71" i="2"/>
  <c r="AA81" i="2"/>
  <c r="B78" i="2"/>
  <c r="B74" i="2"/>
  <c r="AA79" i="2"/>
  <c r="B87" i="2"/>
  <c r="D70" i="2"/>
  <c r="B77" i="2"/>
  <c r="C70" i="2"/>
  <c r="AA78" i="2"/>
  <c r="B88" i="2"/>
  <c r="B82" i="2"/>
  <c r="B80" i="2"/>
  <c r="B76" i="2"/>
  <c r="B70" i="2"/>
  <c r="B85" i="2"/>
  <c r="B89" i="2"/>
  <c r="B81" i="2"/>
  <c r="B79" i="2"/>
  <c r="B75" i="2"/>
  <c r="B69" i="2"/>
  <c r="B86" i="2"/>
  <c r="F9" i="10"/>
  <c r="C31" i="4"/>
  <c r="C29" i="4"/>
  <c r="C1" i="2"/>
  <c r="E1" i="11"/>
  <c r="G1" i="8"/>
  <c r="M1" i="12"/>
  <c r="E1" i="15"/>
  <c r="E1" i="10"/>
  <c r="K1" i="4"/>
  <c r="I1" i="16"/>
  <c r="C28" i="10"/>
  <c r="F25" i="4"/>
  <c r="E24" i="4"/>
  <c r="B9" i="4"/>
  <c r="D26" i="4"/>
  <c r="D23" i="4"/>
  <c r="C23" i="4"/>
  <c r="B25" i="2"/>
  <c r="C31" i="8"/>
  <c r="D21" i="4"/>
  <c r="I53" i="8"/>
  <c r="I59" i="8"/>
  <c r="J59" i="8"/>
  <c r="B26" i="2"/>
  <c r="C116" i="12"/>
  <c r="B107" i="8"/>
  <c r="B68" i="16"/>
  <c r="B64" i="16"/>
  <c r="F91" i="8"/>
  <c r="F71" i="8"/>
  <c r="F89" i="8"/>
  <c r="F70" i="8"/>
  <c r="F82" i="8"/>
  <c r="F69" i="8"/>
  <c r="F20" i="8"/>
  <c r="F11" i="8"/>
  <c r="F16" i="8"/>
  <c r="F12" i="8"/>
  <c r="F18" i="8"/>
  <c r="F19" i="8"/>
  <c r="F15" i="8"/>
  <c r="F10" i="8"/>
  <c r="H4" i="15"/>
  <c r="R4" i="16"/>
  <c r="C7" i="16"/>
  <c r="C38" i="16"/>
  <c r="H4" i="11"/>
  <c r="F25" i="12"/>
  <c r="F32" i="10"/>
  <c r="B19" i="2"/>
  <c r="C20" i="4"/>
  <c r="C19" i="4"/>
  <c r="C28" i="16"/>
  <c r="C24" i="8"/>
  <c r="B22" i="8"/>
  <c r="E13" i="10"/>
  <c r="E11" i="10"/>
  <c r="F24" i="8"/>
  <c r="E12" i="10"/>
  <c r="C98" i="12"/>
  <c r="C86" i="12"/>
  <c r="D9" i="4"/>
  <c r="C58" i="12"/>
  <c r="F27" i="12"/>
  <c r="AA62" i="2"/>
  <c r="D42" i="2"/>
  <c r="C130" i="12"/>
  <c r="D130" i="12"/>
  <c r="B32" i="12"/>
  <c r="C129" i="12"/>
  <c r="C24" i="12"/>
  <c r="D16" i="12"/>
  <c r="D19" i="12"/>
  <c r="D14" i="12"/>
  <c r="D18" i="12"/>
  <c r="D13" i="12"/>
  <c r="D15" i="12"/>
  <c r="D17" i="12"/>
  <c r="D12" i="12"/>
  <c r="C11" i="4"/>
  <c r="D28" i="2"/>
  <c r="D29" i="2"/>
  <c r="C15" i="4"/>
  <c r="B47" i="8"/>
  <c r="B59" i="2"/>
  <c r="B48" i="2"/>
  <c r="F29" i="10"/>
  <c r="D35" i="2"/>
  <c r="F22" i="10"/>
  <c r="F7" i="8"/>
  <c r="B98" i="8"/>
  <c r="J34" i="8"/>
  <c r="F10" i="12"/>
  <c r="B74" i="8"/>
  <c r="I91" i="8"/>
  <c r="E7" i="12"/>
  <c r="F101" i="8"/>
  <c r="F73" i="8"/>
  <c r="I89" i="8"/>
  <c r="I88" i="8"/>
  <c r="C9" i="8"/>
  <c r="B18" i="8"/>
  <c r="D11" i="12"/>
  <c r="D112" i="12"/>
  <c r="C8" i="16"/>
  <c r="F78" i="8"/>
  <c r="F72" i="8"/>
  <c r="I92" i="8"/>
  <c r="I81" i="8"/>
  <c r="B10" i="8"/>
  <c r="H10" i="12"/>
  <c r="B78" i="8"/>
  <c r="I90" i="8"/>
  <c r="I78" i="8"/>
  <c r="C117" i="12"/>
  <c r="F104" i="8"/>
  <c r="F9" i="8"/>
  <c r="C113" i="12"/>
  <c r="F9" i="12"/>
  <c r="D131" i="12"/>
  <c r="C145" i="12"/>
  <c r="F29" i="12"/>
  <c r="H57" i="10"/>
  <c r="C59" i="2"/>
  <c r="C21" i="11"/>
  <c r="I97" i="8"/>
  <c r="B21" i="2"/>
  <c r="H27" i="12"/>
  <c r="B29" i="2"/>
  <c r="B28" i="2"/>
  <c r="B7" i="11"/>
  <c r="C11" i="8"/>
  <c r="B46" i="8"/>
  <c r="C115" i="12"/>
  <c r="C114" i="12"/>
  <c r="C16" i="8"/>
  <c r="C14" i="8"/>
  <c r="C13" i="8"/>
  <c r="H7" i="12"/>
  <c r="C15" i="8"/>
  <c r="L27" i="12"/>
  <c r="D31" i="2"/>
  <c r="C12" i="4"/>
  <c r="B29" i="11"/>
  <c r="C21" i="8"/>
  <c r="G97" i="8"/>
  <c r="H25" i="12"/>
  <c r="B57" i="2"/>
  <c r="B24" i="2"/>
  <c r="C15" i="11"/>
  <c r="B56" i="2"/>
  <c r="B23" i="2"/>
  <c r="H4" i="10"/>
  <c r="C10" i="11"/>
  <c r="J27" i="12"/>
  <c r="B44" i="2"/>
  <c r="B22" i="2"/>
  <c r="B4" i="2"/>
  <c r="C9" i="11"/>
  <c r="C56" i="10"/>
  <c r="C10" i="8"/>
  <c r="F99" i="8"/>
  <c r="B100" i="8"/>
  <c r="B53" i="2"/>
  <c r="D33" i="12"/>
  <c r="C7" i="4"/>
  <c r="F8" i="11"/>
  <c r="B41" i="2"/>
  <c r="B12" i="11"/>
  <c r="B43" i="2"/>
  <c r="S4" i="12"/>
  <c r="F35" i="10"/>
  <c r="B102" i="8"/>
  <c r="D7" i="12"/>
  <c r="B46" i="2"/>
  <c r="B13" i="2"/>
  <c r="F13" i="8"/>
  <c r="H8" i="11"/>
  <c r="C7" i="12"/>
  <c r="B45" i="2"/>
  <c r="B12" i="2"/>
  <c r="D25" i="12"/>
  <c r="AA63" i="2"/>
  <c r="B37" i="2"/>
  <c r="B14" i="2"/>
  <c r="B22" i="11"/>
  <c r="I69" i="8"/>
  <c r="B49" i="2"/>
  <c r="H26" i="12"/>
  <c r="B105" i="8"/>
  <c r="C64" i="2"/>
  <c r="I80" i="8"/>
  <c r="C19" i="8"/>
  <c r="B38" i="2"/>
  <c r="E8" i="11"/>
  <c r="B55" i="2"/>
  <c r="C25" i="12"/>
  <c r="E9" i="10"/>
  <c r="C29" i="8"/>
  <c r="B42" i="2"/>
  <c r="B8" i="2"/>
  <c r="E7" i="10"/>
  <c r="B4" i="11"/>
  <c r="C46" i="12"/>
  <c r="B40" i="2"/>
  <c r="D7" i="2"/>
  <c r="B30" i="11"/>
  <c r="C10" i="4"/>
  <c r="C60" i="2"/>
  <c r="B35" i="2"/>
  <c r="B10" i="2"/>
  <c r="C14" i="4"/>
  <c r="F79" i="8"/>
  <c r="B58" i="2"/>
  <c r="C7" i="11"/>
  <c r="C38" i="10"/>
  <c r="I79" i="8"/>
  <c r="B9" i="2"/>
  <c r="E21" i="10"/>
  <c r="B50" i="2"/>
  <c r="C65" i="2"/>
  <c r="C69" i="12"/>
  <c r="B65" i="8"/>
  <c r="B61" i="2"/>
  <c r="H28" i="12"/>
  <c r="E15" i="10"/>
  <c r="I34" i="8"/>
  <c r="B79" i="8"/>
  <c r="B106" i="8"/>
  <c r="C66" i="2"/>
  <c r="D36" i="2"/>
  <c r="I7" i="8"/>
  <c r="C31" i="10"/>
  <c r="D32" i="12"/>
  <c r="C18" i="4"/>
  <c r="B66" i="2"/>
  <c r="B36" i="2"/>
  <c r="D8" i="13"/>
  <c r="C58" i="2"/>
  <c r="B7" i="2"/>
  <c r="D37" i="2"/>
  <c r="B63" i="2"/>
  <c r="C43" i="12"/>
  <c r="C11" i="11"/>
  <c r="E56" i="10"/>
  <c r="I82" i="8"/>
  <c r="B20" i="2"/>
  <c r="D7" i="4"/>
  <c r="B99" i="8"/>
  <c r="C112" i="12"/>
  <c r="B15" i="2"/>
  <c r="B60" i="2"/>
  <c r="B65" i="2"/>
  <c r="B9" i="11"/>
  <c r="C7" i="8"/>
  <c r="B82" i="8"/>
  <c r="C16" i="4"/>
  <c r="B64" i="2"/>
  <c r="C28" i="8"/>
  <c r="C4" i="8"/>
  <c r="F57" i="10"/>
  <c r="C63" i="2"/>
  <c r="E10" i="10"/>
  <c r="C4" i="12"/>
  <c r="C56" i="2"/>
  <c r="D10" i="13"/>
  <c r="B47" i="2"/>
  <c r="F7" i="10"/>
  <c r="B48" i="8"/>
  <c r="F95" i="8"/>
  <c r="D4" i="2"/>
  <c r="C76" i="12"/>
  <c r="C17" i="11"/>
  <c r="D31" i="10"/>
  <c r="B49" i="8"/>
  <c r="B31" i="2"/>
  <c r="J4" i="8"/>
  <c r="C12" i="8"/>
  <c r="C18" i="8"/>
  <c r="B51" i="2"/>
  <c r="B17" i="2"/>
  <c r="L25" i="12"/>
  <c r="B18" i="2"/>
  <c r="E58" i="10"/>
  <c r="F102" i="8"/>
  <c r="B103" i="8"/>
  <c r="C4" i="16"/>
  <c r="B11" i="2"/>
  <c r="C37" i="12"/>
  <c r="G41" i="10"/>
  <c r="D95" i="8"/>
  <c r="B62" i="2"/>
  <c r="C26" i="8"/>
  <c r="E41" i="10"/>
  <c r="B28" i="11"/>
  <c r="C13" i="4"/>
  <c r="C61" i="2"/>
  <c r="B32" i="2"/>
  <c r="C4" i="4"/>
  <c r="B52" i="2"/>
  <c r="B30" i="2"/>
  <c r="C57" i="2"/>
  <c r="J25" i="12"/>
  <c r="F15" i="10"/>
  <c r="C37" i="10"/>
  <c r="C30" i="8"/>
  <c r="B16" i="2"/>
  <c r="C27" i="8"/>
  <c r="B97" i="8"/>
  <c r="B34" i="2"/>
  <c r="C17" i="4"/>
  <c r="C17" i="8"/>
  <c r="C95" i="8"/>
  <c r="B75" i="8"/>
  <c r="F98" i="8"/>
  <c r="F100" i="8"/>
  <c r="F105" i="8"/>
  <c r="F31" i="10"/>
  <c r="C18" i="11"/>
  <c r="C32" i="12"/>
  <c r="F26" i="8"/>
  <c r="F25" i="8"/>
  <c r="F28" i="8"/>
  <c r="F27" i="8"/>
  <c r="I68" i="8"/>
  <c r="C34" i="12"/>
  <c r="C41" i="10"/>
  <c r="G57" i="10"/>
  <c r="F97" i="8"/>
  <c r="C4" i="10"/>
  <c r="C20" i="8"/>
  <c r="C25" i="8"/>
  <c r="B27" i="11"/>
  <c r="F103" i="8"/>
  <c r="F36" i="10"/>
  <c r="C82" i="12"/>
  <c r="C45" i="16" l="1"/>
  <c r="F40" i="16"/>
  <c r="C6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0" authorId="0" shapeId="0" xr:uid="{00000000-0006-0000-0200-000001000000}">
      <text>
        <r>
          <rPr>
            <b/>
            <sz val="9"/>
            <color indexed="81"/>
            <rFont val="Tahoma"/>
            <family val="2"/>
            <charset val="238"/>
          </rPr>
          <t>Autor:</t>
        </r>
        <r>
          <rPr>
            <sz val="9"/>
            <color indexed="81"/>
            <rFont val="Tahoma"/>
            <family val="2"/>
            <charset val="238"/>
          </rPr>
          <t xml:space="preserve">
WP Kobieta, WP Facet, WP Film, WP Gwiazdy, WP Opinie, WP Teleshow, WP Wiadomości, WP Moto, WP Tech, WP Turystyka, WP Kuchnia, WP Dom, WP Gry, WP Finanse, WP Książki, Wawalove</t>
        </r>
      </text>
    </comment>
    <comment ref="C62" authorId="0" shapeId="0" xr:uid="{00000000-0006-0000-0200-000002000000}">
      <text>
        <r>
          <rPr>
            <b/>
            <sz val="9"/>
            <color indexed="81"/>
            <rFont val="Tahoma"/>
            <family val="2"/>
            <charset val="238"/>
          </rPr>
          <t>Autor:</t>
        </r>
        <r>
          <rPr>
            <sz val="9"/>
            <color indexed="81"/>
            <rFont val="Tahoma"/>
            <family val="2"/>
            <charset val="238"/>
          </rPr>
          <t xml:space="preserve">
Możliwość wysłania maksymalnie 230 000 pushy/dzień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4" authorId="0" shapeId="0" xr:uid="{00000000-0006-0000-0400-000001000000}">
      <text>
        <r>
          <rPr>
            <b/>
            <sz val="9"/>
            <color indexed="81"/>
            <rFont val="Tahoma"/>
            <family val="2"/>
            <charset val="238"/>
          </rPr>
          <t>Autor:</t>
        </r>
        <r>
          <rPr>
            <sz val="9"/>
            <color indexed="81"/>
            <rFont val="Tahoma"/>
            <family val="2"/>
            <charset val="238"/>
          </rPr>
          <t xml:space="preserve">
Kliknij "+" z lewej strony aby rozwinąć pakiet</t>
        </r>
      </text>
    </comment>
    <comment ref="C37" authorId="0" shapeId="0" xr:uid="{00000000-0006-0000-0400-000002000000}">
      <text>
        <r>
          <rPr>
            <b/>
            <sz val="9"/>
            <color indexed="81"/>
            <rFont val="Tahoma"/>
            <family val="2"/>
            <charset val="238"/>
          </rPr>
          <t>Autor:</t>
        </r>
        <r>
          <rPr>
            <sz val="9"/>
            <color indexed="81"/>
            <rFont val="Tahoma"/>
            <family val="2"/>
            <charset val="238"/>
          </rPr>
          <t xml:space="preserve">
Kliknij "+" z lewej strony aby rozwinąć pakiet</t>
        </r>
      </text>
    </comment>
    <comment ref="C43" authorId="0" shapeId="0" xr:uid="{00000000-0006-0000-0400-000003000000}">
      <text>
        <r>
          <rPr>
            <b/>
            <sz val="9"/>
            <color indexed="81"/>
            <rFont val="Tahoma"/>
            <family val="2"/>
            <charset val="238"/>
          </rPr>
          <t>Autor:</t>
        </r>
        <r>
          <rPr>
            <sz val="9"/>
            <color indexed="81"/>
            <rFont val="Tahoma"/>
            <family val="2"/>
            <charset val="238"/>
          </rPr>
          <t xml:space="preserve">
Kliknij "+" z lewej strony aby rozwinąć pakiet</t>
        </r>
      </text>
    </comment>
    <comment ref="C46" authorId="0" shapeId="0" xr:uid="{00000000-0006-0000-0400-000004000000}">
      <text>
        <r>
          <rPr>
            <b/>
            <sz val="9"/>
            <color indexed="81"/>
            <rFont val="Tahoma"/>
            <family val="2"/>
            <charset val="238"/>
          </rPr>
          <t>Autor:</t>
        </r>
        <r>
          <rPr>
            <sz val="9"/>
            <color indexed="81"/>
            <rFont val="Tahoma"/>
            <family val="2"/>
            <charset val="238"/>
          </rPr>
          <t xml:space="preserve">
Kliknij "+" z lewej strony aby rozwinąć pakiet</t>
        </r>
      </text>
    </comment>
    <comment ref="C58" authorId="0" shapeId="0" xr:uid="{00000000-0006-0000-0400-000005000000}">
      <text>
        <r>
          <rPr>
            <b/>
            <sz val="9"/>
            <color indexed="81"/>
            <rFont val="Tahoma"/>
            <family val="2"/>
            <charset val="238"/>
          </rPr>
          <t>Autor:</t>
        </r>
        <r>
          <rPr>
            <sz val="9"/>
            <color indexed="81"/>
            <rFont val="Tahoma"/>
            <family val="2"/>
            <charset val="238"/>
          </rPr>
          <t xml:space="preserve">
Kliknij "+" z lewej strony aby rozwinąć pakiet</t>
        </r>
      </text>
    </comment>
    <comment ref="C69" authorId="0" shapeId="0" xr:uid="{00000000-0006-0000-0400-00000600000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xr:uid="{00000000-0006-0000-0400-000007000000}">
      <text>
        <r>
          <rPr>
            <b/>
            <sz val="9"/>
            <color indexed="81"/>
            <rFont val="Tahoma"/>
            <family val="2"/>
            <charset val="238"/>
          </rPr>
          <t>Autor:</t>
        </r>
        <r>
          <rPr>
            <sz val="9"/>
            <color indexed="81"/>
            <rFont val="Tahoma"/>
            <family val="2"/>
            <charset val="238"/>
          </rPr>
          <t xml:space="preserve">
Kliknij "+" z lewej strony aby rozwinąć pakiet</t>
        </r>
      </text>
    </comment>
    <comment ref="C82" authorId="0" shapeId="0" xr:uid="{00000000-0006-0000-0400-000008000000}">
      <text>
        <r>
          <rPr>
            <b/>
            <sz val="9"/>
            <color indexed="81"/>
            <rFont val="Tahoma"/>
            <family val="2"/>
            <charset val="238"/>
          </rPr>
          <t>Autor:</t>
        </r>
        <r>
          <rPr>
            <sz val="9"/>
            <color indexed="81"/>
            <rFont val="Tahoma"/>
            <family val="2"/>
            <charset val="238"/>
          </rPr>
          <t xml:space="preserve">
Kliknij "+" z lewej strony aby rozwinąć pakiet</t>
        </r>
      </text>
    </comment>
    <comment ref="C86" authorId="0" shapeId="0" xr:uid="{00000000-0006-0000-0400-000009000000}">
      <text>
        <r>
          <rPr>
            <b/>
            <sz val="9"/>
            <color indexed="81"/>
            <rFont val="Tahoma"/>
            <family val="2"/>
            <charset val="238"/>
          </rPr>
          <t>Autor:</t>
        </r>
        <r>
          <rPr>
            <sz val="9"/>
            <color indexed="81"/>
            <rFont val="Tahoma"/>
            <family val="2"/>
            <charset val="238"/>
          </rPr>
          <t xml:space="preserve">
Kliknij "+" z lewej strony aby rozwinąć pakiet</t>
        </r>
      </text>
    </comment>
    <comment ref="C98" authorId="0" shapeId="0" xr:uid="{00000000-0006-0000-0400-00000A000000}">
      <text>
        <r>
          <rPr>
            <b/>
            <sz val="9"/>
            <color indexed="81"/>
            <rFont val="Tahoma"/>
            <family val="2"/>
            <charset val="238"/>
          </rPr>
          <t>Autor:</t>
        </r>
        <r>
          <rPr>
            <sz val="9"/>
            <color indexed="81"/>
            <rFont val="Tahoma"/>
            <family val="2"/>
            <charset val="238"/>
          </rPr>
          <t xml:space="preserve">
Kliknij "+" z lewej strony aby rozwinąć pakiet</t>
        </r>
      </text>
    </comment>
    <comment ref="E130" authorId="0" shapeId="0" xr:uid="{00000000-0006-0000-0400-00000B000000}">
      <text>
        <r>
          <rPr>
            <b/>
            <sz val="9"/>
            <color indexed="81"/>
            <rFont val="Tahoma"/>
            <family val="2"/>
            <charset val="238"/>
          </rPr>
          <t>Autor:</t>
        </r>
        <r>
          <rPr>
            <sz val="9"/>
            <color indexed="81"/>
            <rFont val="Tahoma"/>
            <family val="2"/>
            <charset val="238"/>
          </rPr>
          <t xml:space="preserve">
Capp 3/uu na kampanię (na drugiej odsłonie autoexpand)</t>
        </r>
      </text>
    </comment>
    <comment ref="E132" authorId="0" shapeId="0" xr:uid="{00000000-0006-0000-0400-00000C000000}">
      <text>
        <r>
          <rPr>
            <b/>
            <sz val="9"/>
            <color indexed="81"/>
            <rFont val="Tahoma"/>
            <family val="2"/>
            <charset val="238"/>
          </rPr>
          <t>Autor:</t>
        </r>
        <r>
          <rPr>
            <sz val="9"/>
            <color indexed="81"/>
            <rFont val="Tahoma"/>
            <family val="2"/>
            <charset val="238"/>
          </rPr>
          <t xml:space="preserve">
Capp 3/uu na kampanię (na drugiej odsłonie autoexpand)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8" authorId="0" shapeId="0" xr:uid="{00000000-0006-0000-0700-00000100000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<sst xmlns="http://schemas.openxmlformats.org/spreadsheetml/2006/main" count="777" uniqueCount="309">
  <si>
    <t xml:space="preserve">            Wybór języka - Language</t>
  </si>
  <si>
    <t>PROSZĘ WYBRAĆ JĘZYK</t>
  </si>
  <si>
    <t>PLEASE CHOOSE LANGUAGE</t>
  </si>
  <si>
    <t>Polski</t>
  </si>
  <si>
    <t>English</t>
  </si>
  <si>
    <r>
      <t>Double Billboard lub Wideboard</t>
    </r>
    <r>
      <rPr>
        <vertAlign val="superscript"/>
        <sz val="8"/>
        <color indexed="8"/>
        <rFont val="Tahoma"/>
        <family val="2"/>
      </rPr>
      <t>1</t>
    </r>
  </si>
  <si>
    <t>Triple Billboard</t>
  </si>
  <si>
    <t>Money Box</t>
  </si>
  <si>
    <r>
      <t>Content Box</t>
    </r>
    <r>
      <rPr>
        <vertAlign val="superscript"/>
        <sz val="8"/>
        <color indexed="8"/>
        <rFont val="Tahoma"/>
        <family val="2"/>
      </rPr>
      <t>2</t>
    </r>
  </si>
  <si>
    <t>ROS SPORTOWEFAKTY (DESKTOP)</t>
  </si>
  <si>
    <r>
      <t>ROS SPORTOWEFAKTY (MOBILE)</t>
    </r>
    <r>
      <rPr>
        <b/>
        <vertAlign val="superscript"/>
        <sz val="8"/>
        <color indexed="9"/>
        <rFont val="Tahoma"/>
        <family val="2"/>
        <charset val="238"/>
      </rPr>
      <t>1</t>
    </r>
  </si>
  <si>
    <t>ROS DOBREPROGRAMY.PL (DESKTOP)</t>
  </si>
  <si>
    <t>Doublebillborad / Wideborad capp 3/uu</t>
  </si>
  <si>
    <t>WP Facet, WP Teleshow, WP Film, WP Opinie, WP Turystyka, WP Gwiazdy, WP Gry, WP Wiadomości, WP Kuchnia, WP Finanse, WP Dom, WP Moto, WP Kobieta, WP Tech, WP Książki, Wawalove</t>
  </si>
  <si>
    <t>WP Finanse, Money</t>
  </si>
  <si>
    <t>WP Wiadomości, WP Opinie</t>
  </si>
  <si>
    <t>WP Moto, Autokult</t>
  </si>
  <si>
    <t>Technologia</t>
  </si>
  <si>
    <t>WP Tech, dobreprogramy.pl, Komórkomania, Gadżetomania, Fotoblogia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</si>
  <si>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</si>
  <si>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</si>
  <si>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</si>
  <si>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</si>
  <si>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</si>
  <si>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</si>
  <si>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</si>
  <si>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</si>
  <si>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</si>
  <si>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</si>
  <si>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</si>
  <si>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</si>
  <si>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</si>
  <si>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</si>
  <si>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</si>
  <si>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</si>
  <si>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</si>
  <si>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</si>
  <si>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</si>
  <si>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</si>
  <si>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</si>
  <si>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</si>
  <si>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</si>
  <si>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</si>
  <si>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</si>
  <si>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</si>
  <si>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</si>
  <si>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Business</t>
  </si>
  <si>
    <t>Celebrieties</t>
  </si>
  <si>
    <t>Life style</t>
  </si>
  <si>
    <t>Automotive, Technology, Games</t>
  </si>
  <si>
    <t>Shopping advice</t>
  </si>
  <si>
    <t>Travel</t>
  </si>
  <si>
    <t>Pudelek</t>
  </si>
  <si>
    <t xml:space="preserve">WP </t>
  </si>
  <si>
    <t xml:space="preserve">O2 </t>
  </si>
  <si>
    <t>-</t>
  </si>
  <si>
    <t>WP + O2 [CPM]</t>
  </si>
  <si>
    <t>WP lub O2 [CPM]</t>
  </si>
  <si>
    <t>COMMERCIAL BREAK³, WELCOME SCREEN³</t>
  </si>
  <si>
    <t>COMMERCIAL BREAK³</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</si>
  <si>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</si>
  <si>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</si>
  <si>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</si>
  <si>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</si>
  <si>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</si>
  <si>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</si>
  <si>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</si>
  <si>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</si>
  <si>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</si>
  <si>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</si>
  <si>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PAKIET SPECJALNY</t>
  </si>
  <si>
    <t>+50%</t>
  </si>
  <si>
    <t>+30%</t>
  </si>
  <si>
    <t>+10%</t>
  </si>
  <si>
    <t>+15%</t>
  </si>
  <si>
    <t>+100%</t>
  </si>
  <si>
    <t>+20%</t>
  </si>
  <si>
    <t>+1%</t>
  </si>
  <si>
    <t>+11.5%</t>
  </si>
  <si>
    <t>+15 PLN</t>
  </si>
  <si>
    <t xml:space="preserve">http://reklama.wp.pl/kat,1039751,dokumenty.html </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</si>
  <si>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</si>
  <si>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</si>
  <si>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</si>
  <si>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</si>
  <si>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</si>
  <si>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</si>
  <si>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</si>
  <si>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</si>
  <si>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</si>
  <si>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</si>
  <si>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</si>
  <si>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</si>
  <si>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</si>
  <si>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</si>
  <si>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</si>
  <si>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</si>
  <si>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</si>
  <si>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</si>
  <si>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</si>
  <si>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</si>
  <si>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</si>
  <si>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</si>
  <si>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</si>
  <si>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</si>
  <si>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</si>
  <si>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</si>
  <si>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</si>
  <si>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</si>
  <si>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</si>
  <si>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</si>
  <si>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PLOTKA NATYWNA¹</t>
  </si>
  <si>
    <t>WPM ZASIĘG INSTREAM</t>
  </si>
  <si>
    <t>PLOTKA SPONSOROWANA</t>
  </si>
  <si>
    <t>Flat Fee 1 dzień / net net</t>
  </si>
  <si>
    <t>20 000 PLN</t>
  </si>
  <si>
    <t>Flat Fee 7 dni / net net</t>
  </si>
  <si>
    <t>25 000 PLN</t>
  </si>
  <si>
    <t>PLOTKI SPONSOROWANE I NATYWNE</t>
  </si>
  <si>
    <t>styczeń-październik</t>
  </si>
  <si>
    <t>listopad - grudzień</t>
  </si>
  <si>
    <t>DZIEŃ</t>
  </si>
  <si>
    <t>MIEJSCE EMISJI</t>
  </si>
  <si>
    <t>Pakiet serwisów Premium</t>
  </si>
  <si>
    <t>PANEL PREMIUM</t>
  </si>
  <si>
    <t>RECTANGLE</t>
  </si>
  <si>
    <t>REKLAMA FLAT FEE - mobile Poczta WP i o2</t>
  </si>
  <si>
    <t>Poczta WP</t>
  </si>
  <si>
    <t>Poczta o2</t>
  </si>
  <si>
    <t>LOGIN BOKS</t>
  </si>
  <si>
    <t>BANNER W INTERFEJSIE</t>
  </si>
  <si>
    <t>REKLAMA CPM w aplikacji</t>
  </si>
  <si>
    <t>Open FM</t>
  </si>
  <si>
    <t>WP Pilot</t>
  </si>
  <si>
    <t>BANNER</t>
  </si>
  <si>
    <t>vCPM (1 000 widzialnych odsłon)</t>
  </si>
  <si>
    <t>Portal Money.pl</t>
  </si>
  <si>
    <t>WP Pogoda</t>
  </si>
  <si>
    <t>Wawalove</t>
  </si>
  <si>
    <t>WP Program TV</t>
  </si>
  <si>
    <t>WP Teleshow</t>
  </si>
  <si>
    <t>WP Wideo</t>
  </si>
  <si>
    <t>o2 serwisy</t>
  </si>
  <si>
    <t>OpenFM</t>
  </si>
  <si>
    <t>Kafeteria.pl</t>
  </si>
  <si>
    <t>WP Tech</t>
  </si>
  <si>
    <t>WP Fitness</t>
  </si>
  <si>
    <t>WP Gry</t>
  </si>
  <si>
    <t>dobreprogramy.pl⁵</t>
  </si>
  <si>
    <t>Medycyna24</t>
  </si>
  <si>
    <t>Nerwica.com</t>
  </si>
  <si>
    <t>PUSH REKLAMOWY</t>
  </si>
  <si>
    <t>brak</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</si>
  <si>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</si>
  <si>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</si>
  <si>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</si>
  <si>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</si>
  <si>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</si>
  <si>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Banner XL</t>
  </si>
  <si>
    <t>Glonews FF</t>
  </si>
  <si>
    <t>Skyscraper</t>
  </si>
  <si>
    <t>Bottom Box</t>
  </si>
  <si>
    <t>Logout Box</t>
  </si>
  <si>
    <t>REKLAMA NATYWNA FLAT FEE - m.wp.pl (strona główna)</t>
  </si>
  <si>
    <t>Wiadomości</t>
  </si>
  <si>
    <t>NATIVE AD w module tematycznym</t>
  </si>
  <si>
    <t>Biznes</t>
  </si>
  <si>
    <t>Gwiazdy</t>
  </si>
  <si>
    <t>Moto</t>
  </si>
  <si>
    <t>Styl Życia</t>
  </si>
  <si>
    <t>cap 1/uu / godzinę / dzień</t>
  </si>
  <si>
    <t xml:space="preserve"> </t>
  </si>
  <si>
    <t>CONTENT BOX rotacyjny</t>
  </si>
  <si>
    <t>mobilna Strona Główna WP.PL, moduły tematyczne: Sport, Biznes, Gwiazdy, Moto&amp;Tech, Styl Życia</t>
  </si>
  <si>
    <t>+75%</t>
  </si>
  <si>
    <t>Rich Media w kreacji</t>
  </si>
  <si>
    <t>+ 50%</t>
  </si>
  <si>
    <t>STAT. WEW.</t>
  </si>
  <si>
    <t>STAT. ZEW.</t>
  </si>
  <si>
    <t>5 000 PLN net net</t>
  </si>
  <si>
    <t>3 000 PLN net net</t>
  </si>
  <si>
    <t>CENA RC</t>
  </si>
  <si>
    <t>o2.pl</t>
  </si>
  <si>
    <t>mobilna o2.pl (Strona Główna + ROS)</t>
  </si>
  <si>
    <t>pakiet dzienny 500 000 PV / 40 000 zł RC (vCPM 80 PLN)</t>
  </si>
  <si>
    <r>
      <t>HALFPAGE</t>
    </r>
    <r>
      <rPr>
        <b/>
        <vertAlign val="superscript"/>
        <sz val="8"/>
        <color theme="0"/>
        <rFont val="Tahoma"/>
        <family val="2"/>
        <charset val="238"/>
      </rPr>
      <t>2,3</t>
    </r>
  </si>
  <si>
    <r>
      <rPr>
        <vertAlign val="superscript"/>
        <sz val="8"/>
        <color theme="1"/>
        <rFont val="Tahoma"/>
        <family val="2"/>
        <charset val="238"/>
      </rPr>
      <t>2</t>
    </r>
    <r>
      <rPr>
        <sz val="8"/>
        <color theme="1"/>
        <rFont val="Tahoma"/>
        <family val="2"/>
        <charset val="238"/>
      </rPr>
      <t xml:space="preserve"> możliwość emisji formatu z efektem parallaxy: +15% do ceny</t>
    </r>
  </si>
  <si>
    <t>FF od 4. odsłony</t>
  </si>
  <si>
    <t>FF / dzień</t>
  </si>
  <si>
    <t>FF / dzień / net net</t>
  </si>
  <si>
    <t>FF / tydzień / net net</t>
  </si>
  <si>
    <t>FF / tydzień</t>
  </si>
  <si>
    <r>
      <rPr>
        <vertAlign val="superscript"/>
        <sz val="8"/>
        <color theme="1"/>
        <rFont val="Tahoma"/>
        <family val="2"/>
        <charset val="238"/>
      </rPr>
      <t>3</t>
    </r>
    <r>
      <rPr>
        <sz val="8"/>
        <color theme="1"/>
        <rFont val="Tahoma"/>
        <family val="2"/>
        <charset val="238"/>
      </rPr>
      <t xml:space="preserve"> na WP SG możliwość emisji formy reklamowej Rectangle lub Halfpage w tej samej cenie</t>
    </r>
  </si>
  <si>
    <t>cap 3/uu / dzień</t>
  </si>
  <si>
    <t>(I dniówka) (slot x03)</t>
  </si>
  <si>
    <t>(II dniówka) (slot x03)</t>
  </si>
  <si>
    <t>COMMERCIAL BREAK</t>
  </si>
  <si>
    <t>(slot x02)</t>
  </si>
  <si>
    <r>
      <t>PANEL PREMIUM</t>
    </r>
    <r>
      <rPr>
        <b/>
        <vertAlign val="superscript"/>
        <sz val="8"/>
        <color theme="0"/>
        <rFont val="Tahoma"/>
        <family val="2"/>
        <charset val="238"/>
      </rPr>
      <t>4</t>
    </r>
  </si>
  <si>
    <t>Banner skalowalny</t>
  </si>
  <si>
    <r>
      <t>RECTANGLE / HALFPAGE</t>
    </r>
    <r>
      <rPr>
        <b/>
        <vertAlign val="superscript"/>
        <sz val="8"/>
        <color theme="0"/>
        <rFont val="Tahoma"/>
        <family val="2"/>
        <charset val="238"/>
      </rPr>
      <t>1,2,3</t>
    </r>
  </si>
  <si>
    <t>Banner (mobile)</t>
  </si>
  <si>
    <t>Karuzela XL</t>
  </si>
  <si>
    <r>
      <rPr>
        <vertAlign val="superscript"/>
        <sz val="8"/>
        <color rgb="FF000000"/>
        <rFont val="Tahoma"/>
        <family val="2"/>
        <charset val="238"/>
      </rPr>
      <t>3</t>
    </r>
    <r>
      <rPr>
        <sz val="8"/>
        <color rgb="FF000000"/>
        <rFont val="Tahoma"/>
        <family val="2"/>
        <charset val="238"/>
      </rPr>
      <t xml:space="preserve"> karuzela XL: +50%</t>
    </r>
  </si>
  <si>
    <t>ROS OPEN.FM (DESKTOP)</t>
  </si>
  <si>
    <t>ROS OPEN.FM (MOBILE)</t>
  </si>
  <si>
    <t>Screening capp 1/uu + Wideoboard capp 2/uu</t>
  </si>
  <si>
    <t>Double Billboard/Halfpage 3/uu / dzień</t>
  </si>
  <si>
    <t>tydzień</t>
  </si>
  <si>
    <t>reklama przy playerze wideo</t>
  </si>
  <si>
    <t>6"</t>
  </si>
  <si>
    <t>PAKIET APLIKACJI</t>
  </si>
  <si>
    <t>OpenFM, WP Pilot</t>
  </si>
  <si>
    <t>EMISJA ODSŁONOWA CPM</t>
  </si>
  <si>
    <t>Serwis OpenFM (aplikacja oraz WWW)</t>
  </si>
  <si>
    <t>Surround Ad (Mega Double Billboard + Halfpage 3/uu / dzień)</t>
  </si>
  <si>
    <r>
      <rPr>
        <vertAlign val="superscript"/>
        <sz val="8"/>
        <color theme="1"/>
        <rFont val="Tahoma"/>
        <family val="2"/>
        <charset val="238"/>
      </rPr>
      <t>⁴</t>
    </r>
    <r>
      <rPr>
        <sz val="8"/>
        <color theme="1"/>
        <rFont val="Tahoma"/>
        <family val="2"/>
      </rPr>
      <t xml:space="preserve"> Rozliczenie po statystykach wewnętrznych WPM, 100% widoczności playera przez minimum 2 sekundy. W przypadku mierzenia kodami zewnętrznymi dopłata do ceny bazowej +30%.</t>
    </r>
  </si>
  <si>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</si>
  <si>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</si>
  <si>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</si>
  <si>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</si>
  <si>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</si>
  <si>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</si>
  <si>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</si>
  <si>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r>
      <rPr>
        <vertAlign val="superscript"/>
        <sz val="8"/>
        <color theme="1"/>
        <rFont val="Tahoma"/>
        <family val="2"/>
        <charset val="238"/>
      </rPr>
      <t>1</t>
    </r>
    <r>
      <rPr>
        <sz val="8"/>
        <color theme="1"/>
        <rFont val="Tahoma"/>
        <family val="2"/>
        <charset val="238"/>
      </rPr>
      <t xml:space="preserve"> możliwość emisji formatu z efektem parallaxy: +15% do ceny bazowej</t>
    </r>
  </si>
  <si>
    <r>
      <rPr>
        <vertAlign val="superscript"/>
        <sz val="8"/>
        <color theme="1"/>
        <rFont val="Tahoma"/>
        <family val="2"/>
        <charset val="238"/>
      </rPr>
      <t>2</t>
    </r>
    <r>
      <rPr>
        <sz val="8"/>
        <color theme="1"/>
        <rFont val="Tahoma"/>
        <family val="2"/>
        <charset val="238"/>
      </rPr>
      <t xml:space="preserve"> karuzela, scroller, slider, cube w rectangle'u: +30%; karuzela XL +50% do ceny bazowej</t>
    </r>
  </si>
  <si>
    <r>
      <rPr>
        <vertAlign val="superscript"/>
        <sz val="8"/>
        <color theme="1"/>
        <rFont val="Tahoma"/>
        <family val="2"/>
        <charset val="238"/>
      </rPr>
      <t>4</t>
    </r>
    <r>
      <rPr>
        <sz val="8"/>
        <color theme="1"/>
        <rFont val="Tahoma"/>
        <family val="2"/>
        <charset val="238"/>
      </rPr>
      <t xml:space="preserve"> możliwa emisja FullPage Mobile Panel Premium: +25% do ceny bazowej (Format dostepny na Stronie Głównej WP oraz serwisach: WP Pogoda, WP Program TV, WP Facet, WP Teleshow, WP Film, WP Opinie, WP Turystyka, WP Gwiazdy, WP Gry, WP Wiadomości, WP Kuchnia, WP Finanse, WP Dom, WP Moto, WP Kobieta, WP Tech, WP Książki, WP Wawalove)</t>
    </r>
  </si>
  <si>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</si>
  <si>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</si>
  <si>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</si>
  <si>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</si>
  <si>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</si>
  <si>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</si>
  <si>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</si>
  <si>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</si>
  <si>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</si>
  <si>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</si>
  <si>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</si>
  <si>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</si>
  <si>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</si>
  <si>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</si>
  <si>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BANNER XL</t>
  </si>
  <si>
    <t>CENA net net</t>
  </si>
  <si>
    <t>CPM RC</t>
  </si>
  <si>
    <t>pakiet dzienny 1 000 000 PV / 80 000 zł RC (vCPM 80 PLN)</t>
  </si>
  <si>
    <t>Pudelek SG</t>
  </si>
  <si>
    <t>(slot x05)</t>
  </si>
  <si>
    <t>Flat Fee / dzień</t>
  </si>
  <si>
    <t>Panel Premium</t>
  </si>
  <si>
    <t>styczeń - wrzesień</t>
  </si>
  <si>
    <t>październik - grudzień</t>
  </si>
  <si>
    <t>WP SG + Pudelek SG</t>
  </si>
  <si>
    <t>ROS</t>
  </si>
  <si>
    <t>18 000 PLN net net</t>
  </si>
  <si>
    <r>
      <t>WP Money</t>
    </r>
    <r>
      <rPr>
        <sz val="8"/>
        <color theme="1"/>
        <rFont val="Tahoma"/>
        <family val="2"/>
        <charset val="238"/>
      </rPr>
      <t xml:space="preserve"> (bez subdomen)</t>
    </r>
  </si>
  <si>
    <t>SG + ROS</t>
  </si>
  <si>
    <t>Pudelek.pl SG + ROS</t>
  </si>
  <si>
    <t>Autocentrum.pl</t>
  </si>
  <si>
    <r>
      <rPr>
        <vertAlign val="superscript"/>
        <sz val="8"/>
        <color theme="1"/>
        <rFont val="Tahoma"/>
        <family val="2"/>
        <charset val="238"/>
      </rPr>
      <t>5</t>
    </r>
    <r>
      <rPr>
        <sz val="8"/>
        <color theme="1"/>
        <rFont val="Tahoma"/>
        <family val="2"/>
        <charset val="238"/>
      </rPr>
      <t xml:space="preserve"> Cena za spot interaktywny targetowany dynamicznie</t>
    </r>
  </si>
  <si>
    <r>
      <t>0,08 PLN (0,09 PLN</t>
    </r>
    <r>
      <rPr>
        <vertAlign val="superscript"/>
        <sz val="8"/>
        <color theme="4" tint="-0.249977111117893"/>
        <rFont val="Tahoma"/>
        <family val="2"/>
        <charset val="238"/>
      </rPr>
      <t>5</t>
    </r>
    <r>
      <rPr>
        <sz val="8"/>
        <color theme="4" tint="-0.249977111117893"/>
        <rFont val="Tahoma"/>
        <family val="2"/>
        <charset val="238"/>
      </rPr>
      <t>)</t>
    </r>
  </si>
  <si>
    <r>
      <t>0,10 PLN (0,11 PLN</t>
    </r>
    <r>
      <rPr>
        <vertAlign val="superscript"/>
        <sz val="8"/>
        <color theme="4" tint="-0.249977111117893"/>
        <rFont val="Tahoma"/>
        <family val="2"/>
        <charset val="238"/>
      </rPr>
      <t>5</t>
    </r>
    <r>
      <rPr>
        <sz val="8"/>
        <color theme="4" tint="-0.249977111117893"/>
        <rFont val="Tahoma"/>
        <family val="2"/>
        <charset val="238"/>
      </rPr>
      <t>)</t>
    </r>
  </si>
  <si>
    <t>Flat Fee / tydzień</t>
  </si>
  <si>
    <t>SEKCJA</t>
  </si>
  <si>
    <t>Strona Główna</t>
  </si>
  <si>
    <t>WP</t>
  </si>
  <si>
    <t>Strona Główna + ROS</t>
  </si>
  <si>
    <t xml:space="preserve">Content Box (x15) FF </t>
  </si>
  <si>
    <t>Content Box (x16) XL FF</t>
  </si>
  <si>
    <t>Native Ad (x20) FF</t>
  </si>
  <si>
    <t>Native Ad (x21) FF</t>
  </si>
  <si>
    <t>Content Box (x15) FF</t>
  </si>
  <si>
    <t>Content Box XL (x16) FF</t>
  </si>
  <si>
    <t>40 000 PLN</t>
  </si>
  <si>
    <t>35 000 PLN</t>
  </si>
  <si>
    <t>O2</t>
  </si>
  <si>
    <t>O2 SG + ROS</t>
  </si>
  <si>
    <t>O2 (desktop/mobile)</t>
  </si>
  <si>
    <t>WP SG (desktop)</t>
  </si>
  <si>
    <t>PUDELEK (deksktop)</t>
  </si>
  <si>
    <t>WP SG (Native Ad Gwiazdy)
Pudelek SG (Native Ad Hotnews 21)</t>
  </si>
  <si>
    <t>STRONA GŁÓWNA WP MONEY (DESKTOP/TABLET)</t>
  </si>
  <si>
    <t>STRONA GŁÓWNA WP MONEY (MOBILE)</t>
  </si>
  <si>
    <t>Screening</t>
  </si>
  <si>
    <t>MidBox (slot x062)</t>
  </si>
  <si>
    <t>O2 Box (slot x34)</t>
  </si>
  <si>
    <t>Halfpage (slot x37)</t>
  </si>
  <si>
    <t>Native Ad Gwiazdy /  Native Ad Hotnews (slot x21)</t>
  </si>
  <si>
    <t>BANNER XL z karuzelą</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</si>
  <si>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</si>
  <si>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</si>
  <si>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</si>
  <si>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</si>
  <si>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r>
      <t>3x100 InStream Interactive Video Ad (net net)</t>
    </r>
    <r>
      <rPr>
        <b/>
        <vertAlign val="superscript"/>
        <sz val="8"/>
        <color theme="0"/>
        <rFont val="Tahoma"/>
        <family val="2"/>
        <charset val="238"/>
      </rPr>
      <t>4, 6</t>
    </r>
  </si>
  <si>
    <t>Outstream Video Ad CPM¹ (cena RC)</t>
  </si>
  <si>
    <t>Commercial Break</t>
  </si>
  <si>
    <t>Money.pl</t>
  </si>
  <si>
    <r>
      <t>Instream Video Ad CPV (net net)</t>
    </r>
    <r>
      <rPr>
        <b/>
        <vertAlign val="superscript"/>
        <sz val="8"/>
        <color theme="0"/>
        <rFont val="Tahoma"/>
        <family val="2"/>
        <charset val="238"/>
      </rPr>
      <t>7</t>
    </r>
    <r>
      <rPr>
        <b/>
        <sz val="8"/>
        <color theme="0"/>
        <rFont val="Tahoma"/>
        <family val="2"/>
      </rPr>
      <t/>
    </r>
  </si>
  <si>
    <r>
      <t>Instream Video Ad vCPM (net net)</t>
    </r>
    <r>
      <rPr>
        <b/>
        <vertAlign val="superscript"/>
        <sz val="8"/>
        <color theme="0"/>
        <rFont val="Tahoma"/>
        <family val="2"/>
        <charset val="238"/>
      </rPr>
      <t>8</t>
    </r>
  </si>
  <si>
    <r>
      <t>0,06 PLN (0,07 PLN</t>
    </r>
    <r>
      <rPr>
        <vertAlign val="superscript"/>
        <sz val="8"/>
        <color theme="4" tint="-0.249977111117893"/>
        <rFont val="Tahoma"/>
        <family val="2"/>
        <charset val="238"/>
      </rPr>
      <t>5</t>
    </r>
    <r>
      <rPr>
        <sz val="8"/>
        <color theme="4" tint="-0.249977111117893"/>
        <rFont val="Tahoma"/>
        <family val="2"/>
        <charset val="238"/>
      </rPr>
      <t>)</t>
    </r>
  </si>
  <si>
    <r>
      <t>40 PLN (50 PLN</t>
    </r>
    <r>
      <rPr>
        <vertAlign val="superscript"/>
        <sz val="8"/>
        <color theme="4" tint="-0.249977111117893"/>
        <rFont val="Tahoma"/>
        <family val="2"/>
        <charset val="238"/>
      </rPr>
      <t>5</t>
    </r>
    <r>
      <rPr>
        <sz val="8"/>
        <color theme="4" tint="-0.249977111117893"/>
        <rFont val="Tahoma"/>
        <family val="2"/>
        <charset val="238"/>
      </rPr>
      <t>)</t>
    </r>
  </si>
  <si>
    <r>
      <t>60 PLN (70 PLN</t>
    </r>
    <r>
      <rPr>
        <vertAlign val="superscript"/>
        <sz val="8"/>
        <color theme="4" tint="-0.249977111117893"/>
        <rFont val="Tahoma"/>
        <family val="2"/>
        <charset val="238"/>
      </rPr>
      <t>5</t>
    </r>
    <r>
      <rPr>
        <sz val="8"/>
        <color theme="4" tint="-0.249977111117893"/>
        <rFont val="Tahoma"/>
        <family val="2"/>
        <charset val="238"/>
      </rPr>
      <t>)</t>
    </r>
  </si>
  <si>
    <r>
      <t>0,04 PLN (0,05 PLN</t>
    </r>
    <r>
      <rPr>
        <vertAlign val="superscript"/>
        <sz val="8"/>
        <color theme="4" tint="-0.249977111117893"/>
        <rFont val="Tahoma"/>
        <family val="2"/>
        <charset val="238"/>
      </rPr>
      <t>5</t>
    </r>
    <r>
      <rPr>
        <sz val="8"/>
        <color theme="4" tint="-0.249977111117893"/>
        <rFont val="Tahoma"/>
        <family val="2"/>
        <charset val="238"/>
      </rPr>
      <t>)</t>
    </r>
  </si>
  <si>
    <t>Banner skalowalny XL 1/uu + Banner skalowalny 2/uu</t>
  </si>
  <si>
    <t>Banner skalowaln 3/uu</t>
  </si>
  <si>
    <t>Screening 1/uu + Banner skalowalny 2/uu</t>
  </si>
  <si>
    <t>Gigaboard 1/uu + Double Billboard/Wideboard 2/uu</t>
  </si>
  <si>
    <t>Double Billboard/Wideboard 3/uu</t>
  </si>
  <si>
    <t>Screening 1/uu + Double Billbard / Wideoboard 2/uu</t>
  </si>
  <si>
    <t>Message Box (mobile)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</si>
</sst>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 numFmtId="173" formatCode="#,##0\ [$PLN];\-#,##0\ [$PLN]"/>
  </numFmts>
  <fonts count="84">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b/>
      <sz val="7"/>
      <color theme="0"/>
      <name val="Tahoma"/>
      <family val="2"/>
      <charset val="238"/>
    </font>
    <font>
      <sz val="8"/>
      <color rgb="FF000000"/>
      <name val="Tahoma"/>
      <family val="2"/>
      <charset val="238"/>
    </font>
    <font>
      <vertAlign val="superscript"/>
      <sz val="8"/>
      <color rgb="FF000000"/>
      <name val="Tahoma"/>
      <family val="2"/>
      <charset val="238"/>
    </font>
    <font>
      <b/>
      <u/>
      <sz val="11"/>
      <color theme="0"/>
      <name val="Calibri"/>
      <family val="2"/>
      <charset val="238"/>
      <scheme val="minor"/>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b/>
      <sz val="8"/>
      <color theme="0" tint="-0.499984740745262"/>
      <name val="Tahoma"/>
      <family val="2"/>
      <charset val="238"/>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sz val="8"/>
      <color theme="3"/>
      <name val="Tahoma"/>
      <family val="2"/>
      <charset val="238"/>
    </font>
  </fonts>
  <fills count="27">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s>
  <borders count="130">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top style="thin">
        <color rgb="FFC00000"/>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theme="1" tint="0.14999847407452621"/>
      </right>
      <top style="thin">
        <color indexed="64"/>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right style="thick">
        <color rgb="FFFF0000"/>
      </right>
      <top/>
      <bottom style="thin">
        <color theme="2"/>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theme="2"/>
      </left>
      <right/>
      <top style="thick">
        <color rgb="FFFF0000"/>
      </top>
      <bottom/>
      <diagonal/>
    </border>
    <border>
      <left style="thin">
        <color rgb="FFC00000"/>
      </left>
      <right style="thin">
        <color indexed="64"/>
      </right>
      <top/>
      <bottom/>
      <diagonal/>
    </border>
    <border>
      <left style="thin">
        <color indexed="64"/>
      </left>
      <right style="hair">
        <color indexed="64"/>
      </right>
      <top style="thin">
        <color theme="0"/>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theme="0"/>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39">
    <xf numFmtId="0" fontId="0" fillId="0" borderId="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144">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5" fontId="30" fillId="4" borderId="0" xfId="0" applyNumberFormat="1" applyFont="1" applyFill="1" applyBorder="1" applyAlignment="1">
      <alignment horizontal="center" vertical="center"/>
    </xf>
    <xf numFmtId="167" fontId="30" fillId="4" borderId="0" xfId="0" applyNumberFormat="1" applyFont="1" applyFill="1" applyBorder="1" applyAlignment="1">
      <alignment horizontal="center" vertical="center"/>
    </xf>
    <xf numFmtId="0" fontId="30" fillId="4" borderId="36"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5" fontId="30" fillId="4" borderId="0" xfId="0" applyNumberFormat="1" applyFont="1" applyFill="1" applyBorder="1" applyAlignment="1">
      <alignment vertical="center"/>
    </xf>
    <xf numFmtId="0" fontId="32"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8"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6"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0" fillId="4" borderId="0" xfId="0" applyFill="1" applyBorder="1" applyAlignment="1">
      <alignment vertical="center"/>
    </xf>
    <xf numFmtId="6" fontId="30" fillId="4" borderId="0" xfId="0" applyNumberFormat="1" applyFont="1" applyFill="1" applyBorder="1" applyAlignment="1">
      <alignment vertical="center"/>
    </xf>
    <xf numFmtId="0" fontId="10" fillId="4" borderId="0" xfId="0" applyFont="1" applyFill="1" applyBorder="1" applyAlignment="1">
      <alignment vertical="center"/>
    </xf>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6"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6" fontId="37" fillId="6" borderId="0" xfId="0" applyNumberFormat="1" applyFont="1" applyFill="1" applyBorder="1" applyAlignment="1">
      <alignment horizontal="center" vertical="center"/>
    </xf>
    <xf numFmtId="166"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6"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38" xfId="0" applyNumberFormat="1" applyFont="1" applyFill="1" applyBorder="1"/>
    <xf numFmtId="0" fontId="34" fillId="13" borderId="38" xfId="0" applyFont="1" applyFill="1" applyBorder="1"/>
    <xf numFmtId="0" fontId="30" fillId="13" borderId="0" xfId="0" applyFont="1" applyFill="1"/>
    <xf numFmtId="0" fontId="30" fillId="13" borderId="39" xfId="0" applyFont="1" applyFill="1" applyBorder="1"/>
    <xf numFmtId="0" fontId="34" fillId="13" borderId="39" xfId="0" applyFont="1" applyFill="1" applyBorder="1"/>
    <xf numFmtId="0" fontId="30" fillId="13" borderId="38" xfId="0" applyFont="1" applyFill="1" applyBorder="1"/>
    <xf numFmtId="0" fontId="34" fillId="9" borderId="0" xfId="0" applyFont="1" applyFill="1"/>
    <xf numFmtId="0" fontId="45" fillId="9" borderId="37" xfId="0" applyFont="1" applyFill="1" applyBorder="1" applyAlignment="1">
      <alignment vertical="center" wrapText="1" readingOrder="1"/>
    </xf>
    <xf numFmtId="0" fontId="30" fillId="4" borderId="0" xfId="0" applyFont="1" applyFill="1"/>
    <xf numFmtId="0" fontId="34" fillId="4" borderId="40"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70" fontId="34" fillId="13" borderId="7" xfId="0" applyNumberFormat="1" applyFont="1" applyFill="1" applyBorder="1" applyAlignment="1">
      <alignment horizontal="center" vertical="center"/>
    </xf>
    <xf numFmtId="171" fontId="19" fillId="4" borderId="8" xfId="1" applyNumberFormat="1" applyFont="1" applyFill="1" applyBorder="1" applyAlignment="1">
      <alignment horizontal="center" vertical="center"/>
    </xf>
    <xf numFmtId="171" fontId="19" fillId="4" borderId="9" xfId="1" applyNumberFormat="1" applyFont="1" applyFill="1" applyBorder="1" applyAlignment="1">
      <alignment horizontal="center" vertical="center"/>
    </xf>
    <xf numFmtId="171" fontId="19" fillId="4" borderId="4" xfId="1" applyNumberFormat="1" applyFont="1" applyFill="1" applyBorder="1" applyAlignment="1">
      <alignment horizontal="center" vertical="center"/>
    </xf>
    <xf numFmtId="171" fontId="19" fillId="4" borderId="10" xfId="1" applyNumberFormat="1" applyFont="1" applyFill="1" applyBorder="1" applyAlignment="1">
      <alignment horizontal="center" vertical="center"/>
    </xf>
    <xf numFmtId="0" fontId="30" fillId="13" borderId="0" xfId="0" applyFont="1" applyFill="1" applyBorder="1"/>
    <xf numFmtId="170" fontId="47" fillId="4" borderId="11" xfId="0" applyNumberFormat="1" applyFont="1" applyFill="1" applyBorder="1" applyAlignment="1">
      <alignment horizontal="center" vertical="center"/>
    </xf>
    <xf numFmtId="170" fontId="47" fillId="4" borderId="1"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0" fontId="30" fillId="4" borderId="0" xfId="0" applyFont="1" applyFill="1"/>
    <xf numFmtId="170" fontId="34" fillId="4" borderId="8" xfId="0" applyNumberFormat="1" applyFont="1" applyFill="1" applyBorder="1" applyAlignment="1">
      <alignment horizontal="center" vertical="center"/>
    </xf>
    <xf numFmtId="170" fontId="34" fillId="4" borderId="9" xfId="0" applyNumberFormat="1" applyFont="1" applyFill="1" applyBorder="1" applyAlignment="1">
      <alignment horizontal="center" vertical="center"/>
    </xf>
    <xf numFmtId="170"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166" fontId="34" fillId="4" borderId="0" xfId="0" applyNumberFormat="1" applyFont="1" applyFill="1" applyBorder="1" applyAlignment="1">
      <alignment horizontal="center" vertical="center"/>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2" xfId="11" applyFont="1" applyFill="1" applyBorder="1" applyAlignment="1">
      <alignment horizontal="left" indent="1"/>
    </xf>
    <xf numFmtId="0" fontId="47" fillId="4" borderId="7" xfId="11" applyFont="1" applyFill="1" applyBorder="1" applyAlignment="1">
      <alignment horizontal="left" indent="1"/>
    </xf>
    <xf numFmtId="0" fontId="47" fillId="4" borderId="11" xfId="11" applyFont="1" applyFill="1" applyBorder="1" applyAlignment="1">
      <alignment horizontal="left"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6" xfId="0" applyFont="1" applyFill="1" applyBorder="1" applyAlignment="1">
      <alignment horizontal="center" vertical="center"/>
    </xf>
    <xf numFmtId="0" fontId="16" fillId="4" borderId="0" xfId="0" applyFont="1" applyFill="1" applyBorder="1" applyAlignment="1">
      <alignment horizontal="left" vertical="center"/>
    </xf>
    <xf numFmtId="0" fontId="52" fillId="9" borderId="0" xfId="8" applyNumberFormat="1" applyFont="1" applyFill="1" applyBorder="1" applyAlignment="1">
      <alignment horizontal="center" vertical="center"/>
    </xf>
    <xf numFmtId="0" fontId="52" fillId="9" borderId="36"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0" fontId="30" fillId="4" borderId="0" xfId="0" applyFont="1" applyFill="1"/>
    <xf numFmtId="170" fontId="34" fillId="4" borderId="16" xfId="0" applyNumberFormat="1" applyFont="1" applyFill="1" applyBorder="1" applyAlignment="1">
      <alignment horizontal="center" vertical="center"/>
    </xf>
    <xf numFmtId="170" fontId="19" fillId="4" borderId="4" xfId="0" applyNumberFormat="1" applyFont="1" applyFill="1" applyBorder="1" applyAlignment="1">
      <alignment horizontal="center" vertical="center"/>
    </xf>
    <xf numFmtId="170" fontId="19" fillId="4" borderId="9" xfId="0" applyNumberFormat="1" applyFont="1" applyFill="1" applyBorder="1" applyAlignment="1">
      <alignment horizontal="center" vertical="center"/>
    </xf>
    <xf numFmtId="170" fontId="34" fillId="4" borderId="4" xfId="0" applyNumberFormat="1" applyFont="1" applyFill="1" applyBorder="1" applyAlignment="1">
      <alignment horizontal="center" vertical="center"/>
    </xf>
    <xf numFmtId="170" fontId="19" fillId="4" borderId="5" xfId="0" applyNumberFormat="1" applyFont="1" applyFill="1" applyBorder="1" applyAlignment="1">
      <alignment horizontal="center" vertical="center"/>
    </xf>
    <xf numFmtId="170" fontId="34" fillId="4" borderId="5" xfId="0" applyNumberFormat="1" applyFont="1" applyFill="1" applyBorder="1" applyAlignment="1">
      <alignment horizontal="center" vertical="center"/>
    </xf>
    <xf numFmtId="170" fontId="19" fillId="4" borderId="8" xfId="0" applyNumberFormat="1" applyFont="1" applyFill="1" applyBorder="1" applyAlignment="1">
      <alignment horizontal="center" vertical="center"/>
    </xf>
    <xf numFmtId="170" fontId="19" fillId="4" borderId="10" xfId="0" applyNumberFormat="1" applyFont="1" applyFill="1" applyBorder="1" applyAlignment="1">
      <alignment horizontal="center" vertical="center"/>
    </xf>
    <xf numFmtId="170" fontId="19" fillId="4" borderId="15" xfId="0" applyNumberFormat="1" applyFont="1" applyFill="1" applyBorder="1" applyAlignment="1">
      <alignment horizontal="center" vertical="center"/>
    </xf>
    <xf numFmtId="0" fontId="47" fillId="4" borderId="0" xfId="11" applyFont="1" applyFill="1" applyBorder="1" applyAlignment="1">
      <alignment horizontal="left" indent="1"/>
    </xf>
    <xf numFmtId="170" fontId="47" fillId="4" borderId="0" xfId="8" applyNumberFormat="1" applyFont="1" applyFill="1" applyBorder="1" applyAlignment="1">
      <alignment horizontal="center"/>
    </xf>
    <xf numFmtId="0" fontId="34" fillId="4" borderId="48" xfId="0" applyFont="1" applyFill="1" applyBorder="1" applyAlignment="1">
      <alignment horizontal="center" vertical="center" textRotation="90"/>
    </xf>
    <xf numFmtId="170"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6" fontId="41" fillId="4" borderId="0" xfId="8" applyNumberFormat="1" applyFont="1" applyFill="1" applyBorder="1" applyAlignment="1"/>
    <xf numFmtId="0" fontId="34" fillId="4" borderId="0" xfId="0" applyFont="1" applyFill="1" applyAlignment="1">
      <alignment vertical="center"/>
    </xf>
    <xf numFmtId="0" fontId="30" fillId="4" borderId="0" xfId="0" applyFont="1" applyFill="1"/>
    <xf numFmtId="0" fontId="34" fillId="4" borderId="0" xfId="0" applyFont="1" applyFill="1" applyBorder="1" applyAlignment="1">
      <alignment horizontal="left" vertical="center" indent="1"/>
    </xf>
    <xf numFmtId="0" fontId="54" fillId="9" borderId="49" xfId="0" applyFont="1" applyFill="1" applyBorder="1" applyAlignment="1">
      <alignment horizontal="center" vertical="center" wrapText="1" readingOrder="1"/>
    </xf>
    <xf numFmtId="0" fontId="21" fillId="15" borderId="50"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171" fontId="19" fillId="4" borderId="10" xfId="0" applyNumberFormat="1" applyFont="1" applyFill="1" applyBorder="1" applyAlignment="1">
      <alignment horizontal="center" vertical="center"/>
    </xf>
    <xf numFmtId="0" fontId="45" fillId="15" borderId="51" xfId="0" applyFont="1" applyFill="1" applyBorder="1" applyAlignment="1">
      <alignment horizontal="center" vertical="center"/>
    </xf>
    <xf numFmtId="0" fontId="45" fillId="15" borderId="52" xfId="0" applyFont="1" applyFill="1" applyBorder="1" applyAlignment="1">
      <alignment horizontal="center" vertical="center" wrapText="1"/>
    </xf>
    <xf numFmtId="0" fontId="45" fillId="15" borderId="53" xfId="0" applyFont="1" applyFill="1" applyBorder="1" applyAlignment="1">
      <alignment horizontal="center" vertical="center"/>
    </xf>
    <xf numFmtId="0" fontId="52" fillId="9" borderId="45" xfId="0" applyFont="1" applyFill="1" applyBorder="1" applyAlignment="1">
      <alignment horizontal="left" vertical="center" indent="1"/>
    </xf>
    <xf numFmtId="0" fontId="52" fillId="9" borderId="55" xfId="0" applyFont="1" applyFill="1" applyBorder="1" applyAlignment="1">
      <alignment horizontal="left" vertical="center" indent="1"/>
    </xf>
    <xf numFmtId="0" fontId="19" fillId="13" borderId="26" xfId="0" applyNumberFormat="1" applyFont="1" applyFill="1" applyBorder="1" applyAlignment="1" applyProtection="1">
      <alignment vertical="center" wrapText="1"/>
    </xf>
    <xf numFmtId="0" fontId="19" fillId="13" borderId="39" xfId="0" applyNumberFormat="1" applyFont="1" applyFill="1" applyBorder="1" applyAlignment="1" applyProtection="1">
      <alignment vertical="center" wrapText="1"/>
    </xf>
    <xf numFmtId="0" fontId="19" fillId="13" borderId="26" xfId="0" applyNumberFormat="1" applyFont="1" applyFill="1" applyBorder="1" applyAlignment="1" applyProtection="1">
      <alignment vertical="center"/>
    </xf>
    <xf numFmtId="0" fontId="34" fillId="4" borderId="25" xfId="0" applyFont="1" applyFill="1" applyBorder="1" applyAlignment="1">
      <alignment horizontal="center" vertical="center" wrapText="1"/>
    </xf>
    <xf numFmtId="170" fontId="16" fillId="4" borderId="17" xfId="0" applyNumberFormat="1" applyFont="1" applyFill="1" applyBorder="1" applyAlignment="1">
      <alignment horizontal="center" vertical="center" wrapText="1"/>
    </xf>
    <xf numFmtId="0" fontId="30" fillId="4" borderId="56" xfId="0" applyFont="1" applyFill="1" applyBorder="1"/>
    <xf numFmtId="0" fontId="30" fillId="4" borderId="57" xfId="0" applyFont="1" applyFill="1" applyBorder="1"/>
    <xf numFmtId="3" fontId="34" fillId="4" borderId="1" xfId="0" applyNumberFormat="1" applyFont="1" applyFill="1" applyBorder="1" applyAlignment="1">
      <alignment horizontal="right" vertical="center" wrapText="1" indent="1"/>
    </xf>
    <xf numFmtId="3" fontId="34" fillId="4" borderId="11" xfId="0" applyNumberFormat="1" applyFont="1" applyFill="1" applyBorder="1" applyAlignment="1">
      <alignment horizontal="right" vertical="center" wrapText="1" indent="1"/>
    </xf>
    <xf numFmtId="170" fontId="16" fillId="4" borderId="12" xfId="0" applyNumberFormat="1" applyFont="1" applyFill="1" applyBorder="1" applyAlignment="1">
      <alignment horizontal="center" vertical="center" wrapText="1"/>
    </xf>
    <xf numFmtId="170"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5" xfId="0" applyFont="1" applyFill="1" applyBorder="1" applyAlignment="1">
      <alignment horizontal="left" vertical="center"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170"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61" xfId="0" applyFont="1" applyFill="1" applyBorder="1" applyAlignment="1">
      <alignment horizontal="left" vertical="center" wrapText="1" indent="1"/>
    </xf>
    <xf numFmtId="0" fontId="34" fillId="4" borderId="23" xfId="0" applyFont="1" applyFill="1" applyBorder="1" applyAlignment="1">
      <alignment vertical="center"/>
    </xf>
    <xf numFmtId="170" fontId="47" fillId="4" borderId="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59" fillId="5" borderId="0" xfId="0" applyFont="1" applyFill="1"/>
    <xf numFmtId="0" fontId="0" fillId="4" borderId="1" xfId="0" applyFill="1" applyBorder="1"/>
    <xf numFmtId="0" fontId="52" fillId="9" borderId="54" xfId="0" applyFont="1" applyFill="1" applyBorder="1" applyAlignment="1">
      <alignment horizontal="left" vertical="center" indent="1"/>
    </xf>
    <xf numFmtId="0" fontId="58" fillId="4" borderId="70" xfId="0" applyFont="1" applyFill="1" applyBorder="1" applyAlignment="1">
      <alignment horizontal="left" vertical="center" indent="1"/>
    </xf>
    <xf numFmtId="0" fontId="34" fillId="4" borderId="0" xfId="0" applyFont="1" applyFill="1"/>
    <xf numFmtId="0" fontId="62" fillId="4" borderId="0" xfId="0" applyFont="1" applyFill="1" applyBorder="1" applyAlignment="1">
      <alignment horizontal="left" vertical="center" indent="1"/>
    </xf>
    <xf numFmtId="0" fontId="62" fillId="4" borderId="0" xfId="0" applyFont="1" applyFill="1" applyBorder="1" applyAlignment="1">
      <alignment horizontal="left" vertical="center"/>
    </xf>
    <xf numFmtId="0" fontId="62"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4" borderId="0" xfId="0" applyFont="1" applyFill="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45" fillId="9" borderId="36" xfId="0" applyFont="1" applyFill="1" applyBorder="1" applyAlignment="1">
      <alignment horizontal="center" vertical="center"/>
    </xf>
    <xf numFmtId="170" fontId="34" fillId="4" borderId="6" xfId="0" applyNumberFormat="1" applyFont="1" applyFill="1" applyBorder="1" applyAlignment="1">
      <alignment horizontal="center" vertical="center"/>
    </xf>
    <xf numFmtId="0" fontId="34" fillId="4" borderId="24"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4" borderId="17" xfId="0" applyFont="1" applyFill="1" applyBorder="1" applyAlignment="1">
      <alignment horizontal="left" vertical="center" wrapText="1"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170" fontId="47" fillId="4" borderId="7"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34" fillId="4" borderId="16"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166" fontId="41" fillId="4" borderId="0" xfId="0" applyNumberFormat="1" applyFont="1" applyFill="1" applyBorder="1" applyAlignment="1">
      <alignment horizontal="center" vertical="center"/>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6" xfId="0" applyFont="1" applyFill="1" applyBorder="1" applyAlignment="1">
      <alignment horizontal="center" vertical="center" wrapText="1"/>
    </xf>
    <xf numFmtId="0" fontId="34" fillId="4" borderId="0"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1"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5" fillId="9" borderId="37"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43" fillId="7" borderId="0" xfId="0" applyNumberFormat="1" applyFont="1" applyFill="1" applyBorder="1" applyAlignment="1">
      <alignment horizontal="center" vertical="center" wrapText="1"/>
    </xf>
    <xf numFmtId="170" fontId="34" fillId="13" borderId="12"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6" fontId="34" fillId="13" borderId="38" xfId="0" applyNumberFormat="1" applyFont="1" applyFill="1" applyBorder="1" applyAlignment="1">
      <alignment horizontal="center" vertical="center"/>
    </xf>
    <xf numFmtId="0" fontId="34" fillId="0" borderId="55" xfId="0" applyFont="1" applyFill="1" applyBorder="1" applyAlignment="1">
      <alignment horizontal="center" vertical="center" textRotation="90"/>
    </xf>
    <xf numFmtId="0" fontId="47" fillId="13" borderId="0" xfId="0" applyFont="1" applyFill="1" applyAlignment="1">
      <alignment horizontal="left" indent="1"/>
    </xf>
    <xf numFmtId="0" fontId="0" fillId="0" borderId="55" xfId="0" applyBorder="1"/>
    <xf numFmtId="0" fontId="30" fillId="4" borderId="55" xfId="0" applyFont="1" applyFill="1" applyBorder="1"/>
    <xf numFmtId="0" fontId="0" fillId="0" borderId="92" xfId="0" applyBorder="1"/>
    <xf numFmtId="0" fontId="63" fillId="0" borderId="0" xfId="0" applyFont="1"/>
    <xf numFmtId="0" fontId="45" fillId="9" borderId="72" xfId="0" applyFont="1" applyFill="1" applyBorder="1" applyAlignment="1">
      <alignment horizontal="center" vertical="center"/>
    </xf>
    <xf numFmtId="0" fontId="19" fillId="4" borderId="0" xfId="0" applyFont="1" applyFill="1" applyBorder="1" applyAlignment="1">
      <alignment horizontal="center" vertical="center"/>
    </xf>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52" fillId="9" borderId="0" xfId="0" applyFont="1" applyFill="1" applyBorder="1" applyAlignment="1">
      <alignment horizontal="center" vertical="center" wrapText="1"/>
    </xf>
    <xf numFmtId="170" fontId="19" fillId="4" borderId="90"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57" xfId="0" applyFont="1" applyFill="1" applyBorder="1" applyAlignment="1">
      <alignment horizontal="left" vertical="center" wrapText="1" indent="1"/>
    </xf>
    <xf numFmtId="0" fontId="64" fillId="4" borderId="0" xfId="0" applyFont="1" applyFill="1" applyBorder="1" applyAlignment="1">
      <alignment vertical="center"/>
    </xf>
    <xf numFmtId="0" fontId="65" fillId="4" borderId="0" xfId="0" applyFont="1" applyFill="1" applyBorder="1" applyAlignment="1">
      <alignment horizontal="left" vertical="center"/>
    </xf>
    <xf numFmtId="0" fontId="30" fillId="4" borderId="94"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47" fillId="4" borderId="1" xfId="0" applyFont="1" applyFill="1" applyBorder="1" applyAlignment="1">
      <alignment horizontal="center" vertical="center"/>
    </xf>
    <xf numFmtId="0" fontId="52" fillId="4" borderId="0" xfId="0" applyFont="1" applyFill="1" applyBorder="1" applyAlignment="1">
      <alignment vertical="center"/>
    </xf>
    <xf numFmtId="0" fontId="52" fillId="4" borderId="55" xfId="0" applyFont="1" applyFill="1" applyBorder="1" applyAlignment="1">
      <alignment vertical="center"/>
    </xf>
    <xf numFmtId="0" fontId="45" fillId="9" borderId="0" xfId="0" applyFont="1" applyFill="1" applyBorder="1" applyAlignment="1">
      <alignment horizontal="center" vertical="center"/>
    </xf>
    <xf numFmtId="0" fontId="62" fillId="4" borderId="18" xfId="0" applyFont="1" applyFill="1" applyBorder="1" applyAlignment="1">
      <alignment horizontal="left" vertical="center" indent="1"/>
    </xf>
    <xf numFmtId="0" fontId="62" fillId="4" borderId="11" xfId="0" applyFont="1" applyFill="1" applyBorder="1" applyAlignment="1">
      <alignment horizontal="left" vertical="center" indent="1"/>
    </xf>
    <xf numFmtId="170" fontId="47" fillId="4" borderId="0"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170" fontId="19" fillId="4" borderId="14"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2"/>
    </xf>
    <xf numFmtId="170" fontId="47" fillId="4" borderId="26" xfId="0" applyNumberFormat="1" applyFont="1" applyFill="1" applyBorder="1" applyAlignment="1">
      <alignment horizontal="right" vertical="center" indent="1"/>
    </xf>
    <xf numFmtId="0" fontId="34" fillId="13" borderId="33" xfId="0" applyFont="1" applyFill="1" applyBorder="1" applyAlignment="1">
      <alignment horizontal="left" vertical="center" wrapText="1" indent="1"/>
    </xf>
    <xf numFmtId="0" fontId="34" fillId="13" borderId="28"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3" xfId="7" applyFont="1" applyFill="1" applyBorder="1" applyAlignment="1">
      <alignment horizontal="left" vertical="center" wrapText="1" indent="1"/>
    </xf>
    <xf numFmtId="0" fontId="34" fillId="13" borderId="28"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170" fontId="47" fillId="4" borderId="10" xfId="0" applyNumberFormat="1" applyFont="1" applyFill="1" applyBorder="1" applyAlignment="1">
      <alignment horizontal="center" vertical="center"/>
    </xf>
    <xf numFmtId="0" fontId="47" fillId="4" borderId="10" xfId="0" applyFont="1" applyFill="1" applyBorder="1" applyAlignment="1">
      <alignment horizontal="center" vertical="center"/>
    </xf>
    <xf numFmtId="170" fontId="19" fillId="4" borderId="20" xfId="0"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4" borderId="7"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34" fillId="4" borderId="12" xfId="0"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170" fontId="34" fillId="4" borderId="22" xfId="0" applyNumberFormat="1" applyFont="1" applyFill="1" applyBorder="1" applyAlignment="1">
      <alignment horizontal="center" vertical="center"/>
    </xf>
    <xf numFmtId="170" fontId="34" fillId="13" borderId="13"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52" fillId="9" borderId="55" xfId="0" applyFont="1" applyFill="1" applyBorder="1" applyAlignment="1">
      <alignment horizontal="left" vertical="center" wrapText="1" indent="1"/>
    </xf>
    <xf numFmtId="0" fontId="52" fillId="4" borderId="81" xfId="0" applyFont="1" applyFill="1" applyBorder="1" applyAlignment="1">
      <alignment vertical="center"/>
    </xf>
    <xf numFmtId="170" fontId="47" fillId="4" borderId="0" xfId="0" applyNumberFormat="1" applyFont="1" applyFill="1" applyBorder="1" applyAlignment="1">
      <alignment horizontal="right" vertical="center" indent="1"/>
    </xf>
    <xf numFmtId="0" fontId="45" fillId="9" borderId="54" xfId="0" applyFont="1" applyFill="1" applyBorder="1" applyAlignment="1">
      <alignment horizontal="left" vertical="center" wrapText="1" indent="1"/>
    </xf>
    <xf numFmtId="0" fontId="30" fillId="4" borderId="95" xfId="0" applyFont="1" applyFill="1" applyBorder="1"/>
    <xf numFmtId="0" fontId="34" fillId="4" borderId="8" xfId="0"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13" borderId="29" xfId="0" applyFont="1" applyFill="1" applyBorder="1" applyAlignment="1">
      <alignment horizontal="left" vertical="center" wrapText="1" indent="1"/>
    </xf>
    <xf numFmtId="0" fontId="34" fillId="13" borderId="12" xfId="0" applyFont="1" applyFill="1" applyBorder="1" applyAlignment="1">
      <alignment horizontal="left" vertical="center" wrapText="1" indent="1"/>
    </xf>
    <xf numFmtId="170" fontId="47" fillId="13" borderId="6" xfId="0" applyNumberFormat="1" applyFont="1" applyFill="1" applyBorder="1" applyAlignment="1">
      <alignment horizontal="center" vertical="center"/>
    </xf>
    <xf numFmtId="170" fontId="34" fillId="4" borderId="30"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170" fontId="56" fillId="13" borderId="18" xfId="0" applyNumberFormat="1" applyFont="1" applyFill="1" applyBorder="1" applyAlignment="1">
      <alignment horizontal="center" vertical="center"/>
    </xf>
    <xf numFmtId="170" fontId="56" fillId="13" borderId="11" xfId="0" applyNumberFormat="1" applyFont="1" applyFill="1" applyBorder="1" applyAlignment="1">
      <alignment horizontal="center" vertical="center"/>
    </xf>
    <xf numFmtId="170" fontId="47" fillId="13" borderId="30" xfId="0" applyNumberFormat="1" applyFont="1" applyFill="1" applyBorder="1" applyAlignment="1">
      <alignment horizontal="center" vertical="center"/>
    </xf>
    <xf numFmtId="170" fontId="47" fillId="13" borderId="23"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xf>
    <xf numFmtId="170" fontId="34" fillId="13" borderId="28"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wrapText="1"/>
    </xf>
    <xf numFmtId="170" fontId="47" fillId="4" borderId="30" xfId="0" applyNumberFormat="1" applyFont="1" applyFill="1" applyBorder="1" applyAlignment="1">
      <alignment horizontal="center" vertical="center" wrapText="1"/>
    </xf>
    <xf numFmtId="170" fontId="34" fillId="13" borderId="6" xfId="0" applyNumberFormat="1" applyFont="1" applyFill="1" applyBorder="1" applyAlignment="1">
      <alignment horizontal="center" vertical="center" wrapText="1"/>
    </xf>
    <xf numFmtId="170" fontId="34" fillId="13" borderId="7" xfId="0" applyNumberFormat="1" applyFont="1" applyFill="1" applyBorder="1" applyAlignment="1">
      <alignment horizontal="center" vertical="center" wrapText="1"/>
    </xf>
    <xf numFmtId="170" fontId="34" fillId="13" borderId="22" xfId="0" applyNumberFormat="1" applyFont="1" applyFill="1" applyBorder="1" applyAlignment="1">
      <alignment horizontal="center" vertical="center" wrapText="1"/>
    </xf>
    <xf numFmtId="170" fontId="34" fillId="13" borderId="13" xfId="0" applyNumberFormat="1" applyFont="1" applyFill="1" applyBorder="1" applyAlignment="1">
      <alignment horizontal="center" vertical="center" wrapText="1"/>
    </xf>
    <xf numFmtId="170" fontId="34" fillId="4" borderId="93" xfId="0" applyNumberFormat="1" applyFont="1" applyFill="1" applyBorder="1" applyAlignment="1">
      <alignment horizontal="center" vertical="center"/>
    </xf>
    <xf numFmtId="170" fontId="34" fillId="4" borderId="30" xfId="0" applyNumberFormat="1" applyFont="1" applyFill="1" applyBorder="1" applyAlignment="1">
      <alignment horizontal="center" vertical="center" wrapText="1"/>
    </xf>
    <xf numFmtId="170" fontId="19" fillId="4" borderId="30" xfId="0" applyNumberFormat="1" applyFont="1" applyFill="1" applyBorder="1" applyAlignment="1">
      <alignment horizontal="center" vertical="center"/>
    </xf>
    <xf numFmtId="170" fontId="47" fillId="4" borderId="30" xfId="0" applyNumberFormat="1" applyFont="1" applyFill="1" applyBorder="1" applyAlignment="1">
      <alignment horizontal="center" vertical="center"/>
    </xf>
    <xf numFmtId="170" fontId="47" fillId="4" borderId="23" xfId="0" applyNumberFormat="1" applyFont="1" applyFill="1" applyBorder="1" applyAlignment="1">
      <alignment horizontal="center" vertical="center"/>
    </xf>
    <xf numFmtId="170" fontId="34" fillId="13" borderId="6"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34" fillId="13" borderId="22" xfId="0" applyNumberFormat="1" applyFont="1" applyFill="1" applyBorder="1" applyAlignment="1">
      <alignment horizontal="center" vertical="center"/>
    </xf>
    <xf numFmtId="170" fontId="34" fillId="13" borderId="13" xfId="0" applyNumberFormat="1" applyFont="1" applyFill="1" applyBorder="1" applyAlignment="1">
      <alignment horizontal="center" vertical="center"/>
    </xf>
    <xf numFmtId="0" fontId="57" fillId="9" borderId="36" xfId="0" applyFont="1" applyFill="1" applyBorder="1" applyAlignment="1">
      <alignment horizontal="center" vertical="center" wrapText="1"/>
    </xf>
    <xf numFmtId="0" fontId="57" fillId="9" borderId="60" xfId="0" applyFont="1" applyFill="1" applyBorder="1" applyAlignment="1">
      <alignment horizontal="center" vertical="center" wrapText="1"/>
    </xf>
    <xf numFmtId="0" fontId="45" fillId="9" borderId="0" xfId="0" applyFont="1" applyFill="1" applyBorder="1" applyAlignment="1">
      <alignment horizontal="center" vertical="center" wrapText="1"/>
    </xf>
    <xf numFmtId="170" fontId="34" fillId="13" borderId="23" xfId="0" applyNumberFormat="1" applyFont="1" applyFill="1" applyBorder="1" applyAlignment="1">
      <alignment horizontal="center" vertical="center"/>
    </xf>
    <xf numFmtId="170" fontId="70" fillId="4" borderId="47" xfId="0" applyNumberFormat="1" applyFont="1" applyFill="1" applyBorder="1" applyAlignment="1">
      <alignment horizontal="center" vertical="center"/>
    </xf>
    <xf numFmtId="170" fontId="70" fillId="4" borderId="23" xfId="0" applyNumberFormat="1" applyFont="1" applyFill="1" applyBorder="1" applyAlignment="1">
      <alignment horizontal="center" vertical="center"/>
    </xf>
    <xf numFmtId="170" fontId="71" fillId="4" borderId="23" xfId="0" applyNumberFormat="1" applyFont="1" applyFill="1" applyBorder="1" applyAlignment="1">
      <alignment horizontal="center" vertical="center" wrapText="1"/>
    </xf>
    <xf numFmtId="170" fontId="70" fillId="4" borderId="23" xfId="0" applyNumberFormat="1" applyFont="1" applyFill="1" applyBorder="1" applyAlignment="1">
      <alignment horizontal="center" vertical="center" wrapText="1"/>
    </xf>
    <xf numFmtId="170" fontId="71" fillId="4" borderId="23"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xf>
    <xf numFmtId="170" fontId="70" fillId="13" borderId="13"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wrapText="1"/>
    </xf>
    <xf numFmtId="170" fontId="70" fillId="13" borderId="13"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xf>
    <xf numFmtId="6" fontId="30" fillId="4" borderId="0" xfId="0" applyNumberFormat="1" applyFont="1" applyFill="1" applyBorder="1" applyAlignment="1">
      <alignment horizontal="center" vertical="center"/>
    </xf>
    <xf numFmtId="170" fontId="70" fillId="4" borderId="11" xfId="0" applyNumberFormat="1" applyFont="1" applyFill="1" applyBorder="1" applyAlignment="1">
      <alignment horizontal="center" vertical="center"/>
    </xf>
    <xf numFmtId="0" fontId="23" fillId="4" borderId="10" xfId="0" applyFont="1" applyFill="1" applyBorder="1" applyAlignment="1">
      <alignment horizontal="center" vertical="center" wrapText="1" readingOrder="1"/>
    </xf>
    <xf numFmtId="0" fontId="23" fillId="4" borderId="8" xfId="0"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170" fontId="34" fillId="13" borderId="2" xfId="0" applyNumberFormat="1" applyFont="1" applyFill="1" applyBorder="1" applyAlignment="1">
      <alignment horizontal="center" vertical="center"/>
    </xf>
    <xf numFmtId="0" fontId="42" fillId="5" borderId="2" xfId="0" applyFont="1" applyFill="1" applyBorder="1" applyAlignment="1"/>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170" fontId="47" fillId="4" borderId="1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47" fillId="4" borderId="0" xfId="0" applyFont="1" applyFill="1" applyBorder="1" applyAlignment="1">
      <alignment horizontal="center" vertical="center" wrapText="1"/>
    </xf>
    <xf numFmtId="170" fontId="47" fillId="4" borderId="17" xfId="0" applyNumberFormat="1" applyFont="1" applyFill="1" applyBorder="1" applyAlignment="1">
      <alignment horizontal="center" vertical="center"/>
    </xf>
    <xf numFmtId="170" fontId="47" fillId="4" borderId="22" xfId="0" applyNumberFormat="1" applyFont="1" applyFill="1" applyBorder="1" applyAlignment="1">
      <alignment horizontal="center" vertical="center"/>
    </xf>
    <xf numFmtId="0" fontId="52" fillId="9" borderId="36" xfId="0" applyFont="1" applyFill="1" applyBorder="1" applyAlignment="1">
      <alignment horizontal="center" vertical="center"/>
    </xf>
    <xf numFmtId="170" fontId="47" fillId="4" borderId="6" xfId="0" applyNumberFormat="1" applyFont="1" applyFill="1" applyBorder="1" applyAlignment="1">
      <alignment horizontal="center" vertical="center"/>
    </xf>
    <xf numFmtId="170" fontId="47" fillId="4" borderId="16" xfId="0" applyNumberFormat="1" applyFont="1" applyFill="1" applyBorder="1" applyAlignment="1">
      <alignment horizontal="center" vertical="center"/>
    </xf>
    <xf numFmtId="170" fontId="47" fillId="4" borderId="1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170" fontId="47" fillId="4" borderId="8"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9"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0" fontId="52" fillId="9" borderId="36" xfId="0" applyFont="1" applyFill="1" applyBorder="1" applyAlignment="1">
      <alignment horizontal="center" vertical="center"/>
    </xf>
    <xf numFmtId="170" fontId="47" fillId="4" borderId="3"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72" fillId="9" borderId="36" xfId="0" applyFont="1" applyFill="1" applyBorder="1" applyAlignment="1">
      <alignment horizontal="center" vertical="center"/>
    </xf>
    <xf numFmtId="170" fontId="47" fillId="4" borderId="0" xfId="0" applyNumberFormat="1" applyFont="1" applyFill="1" applyBorder="1" applyAlignment="1">
      <alignment vertical="center"/>
    </xf>
    <xf numFmtId="170" fontId="34" fillId="13" borderId="30" xfId="0" applyNumberFormat="1" applyFont="1" applyFill="1" applyBorder="1" applyAlignment="1">
      <alignment horizontal="center" vertical="center"/>
    </xf>
    <xf numFmtId="170" fontId="52" fillId="4" borderId="0" xfId="0" applyNumberFormat="1" applyFont="1" applyFill="1" applyBorder="1" applyAlignment="1">
      <alignment vertical="center"/>
    </xf>
    <xf numFmtId="0" fontId="46" fillId="5" borderId="2" xfId="0" applyFont="1" applyFill="1" applyBorder="1" applyAlignment="1">
      <alignment horizontal="right"/>
    </xf>
    <xf numFmtId="0" fontId="26" fillId="4" borderId="0" xfId="5" applyFill="1" applyBorder="1" applyAlignment="1">
      <alignment horizontal="left" vertical="center"/>
    </xf>
    <xf numFmtId="170" fontId="47" fillId="13" borderId="6"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xf>
    <xf numFmtId="170" fontId="34" fillId="13" borderId="6" xfId="0" applyNumberFormat="1" applyFont="1" applyFill="1" applyBorder="1" applyAlignment="1">
      <alignment horizontal="center" vertical="center"/>
    </xf>
    <xf numFmtId="170" fontId="34" fillId="13" borderId="22"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xf>
    <xf numFmtId="170" fontId="70" fillId="13" borderId="13" xfId="0" applyNumberFormat="1" applyFont="1" applyFill="1" applyBorder="1" applyAlignment="1">
      <alignment horizontal="center" vertical="center"/>
    </xf>
    <xf numFmtId="170" fontId="70"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7" fillId="4" borderId="0" xfId="0" applyFont="1" applyFill="1" applyBorder="1" applyAlignment="1">
      <alignment horizontal="center" vertical="center"/>
    </xf>
    <xf numFmtId="0" fontId="62" fillId="4" borderId="0" xfId="0" applyFont="1" applyFill="1" applyBorder="1" applyAlignment="1">
      <alignment horizontal="left" vertical="center" indent="1"/>
    </xf>
    <xf numFmtId="0" fontId="47" fillId="4" borderId="0" xfId="0" applyFont="1" applyFill="1" applyBorder="1" applyAlignment="1">
      <alignment vertical="center"/>
    </xf>
    <xf numFmtId="170" fontId="34" fillId="13" borderId="19" xfId="0" applyNumberFormat="1" applyFont="1" applyFill="1" applyBorder="1" applyAlignment="1">
      <alignment horizontal="center" vertical="center" wrapText="1"/>
    </xf>
    <xf numFmtId="170" fontId="34" fillId="13" borderId="6" xfId="0" applyNumberFormat="1" applyFont="1" applyFill="1" applyBorder="1" applyAlignment="1">
      <alignment horizontal="center" vertical="center" wrapText="1"/>
    </xf>
    <xf numFmtId="170" fontId="34" fillId="13" borderId="22" xfId="0" applyNumberFormat="1" applyFont="1" applyFill="1" applyBorder="1" applyAlignment="1">
      <alignment horizontal="center" vertical="center" wrapText="1"/>
    </xf>
    <xf numFmtId="170" fontId="70" fillId="13" borderId="28"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wrapText="1"/>
    </xf>
    <xf numFmtId="170" fontId="70" fillId="13" borderId="13" xfId="0" applyNumberFormat="1" applyFont="1" applyFill="1" applyBorder="1" applyAlignment="1">
      <alignment horizontal="center" vertical="center" wrapText="1"/>
    </xf>
    <xf numFmtId="170" fontId="34" fillId="4" borderId="20" xfId="0" applyNumberFormat="1" applyFont="1" applyFill="1" applyBorder="1" applyAlignment="1">
      <alignment horizontal="center" vertical="center"/>
    </xf>
    <xf numFmtId="0" fontId="34" fillId="4" borderId="35" xfId="0"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13" xfId="0" applyNumberFormat="1" applyFont="1" applyFill="1" applyBorder="1" applyAlignment="1">
      <alignment horizontal="center" vertical="center"/>
    </xf>
    <xf numFmtId="170" fontId="47" fillId="4" borderId="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47" fillId="4" borderId="5" xfId="0" applyFont="1" applyFill="1" applyBorder="1" applyAlignment="1">
      <alignment horizontal="center" vertical="center"/>
    </xf>
    <xf numFmtId="0" fontId="52" fillId="17" borderId="26" xfId="0" applyFont="1" applyFill="1" applyBorder="1" applyAlignment="1">
      <alignment horizontal="center" vertical="center"/>
    </xf>
    <xf numFmtId="170" fontId="52" fillId="17" borderId="96" xfId="0" applyNumberFormat="1" applyFont="1" applyFill="1" applyBorder="1" applyAlignment="1">
      <alignment horizontal="center" vertical="center"/>
    </xf>
    <xf numFmtId="0" fontId="52" fillId="24" borderId="0" xfId="0" applyFont="1" applyFill="1" applyBorder="1" applyAlignment="1">
      <alignment horizontal="center" vertical="center"/>
    </xf>
    <xf numFmtId="170" fontId="52" fillId="24" borderId="97"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30" fillId="9" borderId="0" xfId="0" applyFont="1" applyFill="1"/>
    <xf numFmtId="0" fontId="10" fillId="9" borderId="36" xfId="0" applyFont="1" applyFill="1" applyBorder="1" applyAlignment="1">
      <alignment vertical="center"/>
    </xf>
    <xf numFmtId="170" fontId="19" fillId="4" borderId="18" xfId="0" applyNumberFormat="1" applyFont="1" applyFill="1" applyBorder="1" applyAlignment="1">
      <alignment horizontal="center" vertical="center"/>
    </xf>
    <xf numFmtId="170" fontId="19" fillId="4" borderId="10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34" fillId="4" borderId="19" xfId="0"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170" fontId="34" fillId="4" borderId="2" xfId="0" applyNumberFormat="1" applyFont="1" applyFill="1" applyBorder="1" applyAlignment="1">
      <alignment horizontal="center" vertical="center"/>
    </xf>
    <xf numFmtId="170" fontId="19" fillId="4" borderId="1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0" fillId="4" borderId="18" xfId="0" applyFont="1" applyFill="1" applyBorder="1" applyAlignment="1">
      <alignment horizontal="center" vertical="center"/>
    </xf>
    <xf numFmtId="170" fontId="34" fillId="4" borderId="21" xfId="0" applyNumberFormat="1" applyFont="1" applyFill="1" applyBorder="1" applyAlignment="1">
      <alignment horizontal="center" vertical="center"/>
    </xf>
    <xf numFmtId="0" fontId="30" fillId="4" borderId="2" xfId="0" applyFont="1" applyFill="1" applyBorder="1" applyAlignment="1">
      <alignment horizontal="center" vertical="center"/>
    </xf>
    <xf numFmtId="170" fontId="34" fillId="4" borderId="33" xfId="0" applyNumberFormat="1" applyFont="1" applyFill="1" applyBorder="1" applyAlignment="1">
      <alignment horizontal="center" vertical="center"/>
    </xf>
    <xf numFmtId="170" fontId="34" fillId="13" borderId="18" xfId="0" applyNumberFormat="1" applyFont="1" applyFill="1" applyBorder="1" applyAlignment="1">
      <alignment horizontal="center" vertical="center"/>
    </xf>
    <xf numFmtId="170" fontId="34" fillId="13" borderId="33" xfId="0" applyNumberFormat="1" applyFont="1" applyFill="1" applyBorder="1" applyAlignment="1">
      <alignment horizontal="center" vertical="center"/>
    </xf>
    <xf numFmtId="170" fontId="34" fillId="13" borderId="21" xfId="0" applyNumberFormat="1" applyFont="1" applyFill="1" applyBorder="1" applyAlignment="1">
      <alignment horizontal="center" vertical="center"/>
    </xf>
    <xf numFmtId="170" fontId="34" fillId="13" borderId="0" xfId="0" applyNumberFormat="1" applyFont="1" applyFill="1" applyAlignment="1">
      <alignment horizontal="center" vertical="center"/>
    </xf>
    <xf numFmtId="170" fontId="34" fillId="13" borderId="31" xfId="0" applyNumberFormat="1" applyFont="1" applyFill="1" applyBorder="1" applyAlignment="1">
      <alignment horizontal="center" vertical="center"/>
    </xf>
    <xf numFmtId="0" fontId="76" fillId="4" borderId="11" xfId="0" applyFont="1" applyFill="1" applyBorder="1" applyAlignment="1">
      <alignment horizontal="center" vertical="center"/>
    </xf>
    <xf numFmtId="0" fontId="76" fillId="13" borderId="1" xfId="0" applyFont="1" applyFill="1" applyBorder="1" applyAlignment="1">
      <alignment horizontal="center" vertical="center"/>
    </xf>
    <xf numFmtId="0" fontId="76" fillId="13" borderId="13" xfId="0" applyFont="1" applyFill="1" applyBorder="1" applyAlignment="1">
      <alignment horizontal="center" vertical="center"/>
    </xf>
    <xf numFmtId="0" fontId="76" fillId="4" borderId="1" xfId="0" applyFont="1" applyFill="1" applyBorder="1" applyAlignment="1">
      <alignment horizontal="center" vertical="center"/>
    </xf>
    <xf numFmtId="0" fontId="76" fillId="13" borderId="28" xfId="0" applyFont="1" applyFill="1" applyBorder="1" applyAlignment="1">
      <alignment horizontal="center" vertical="center"/>
    </xf>
    <xf numFmtId="0" fontId="76" fillId="13" borderId="7" xfId="0" applyFont="1" applyFill="1" applyBorder="1" applyAlignment="1">
      <alignment horizontal="center" vertical="center"/>
    </xf>
    <xf numFmtId="0" fontId="76" fillId="13" borderId="11" xfId="0" applyFont="1" applyFill="1" applyBorder="1" applyAlignment="1">
      <alignment horizontal="center" vertical="center"/>
    </xf>
    <xf numFmtId="0" fontId="76" fillId="4" borderId="28" xfId="0" applyFont="1" applyFill="1" applyBorder="1" applyAlignment="1">
      <alignment horizontal="center" vertical="center"/>
    </xf>
    <xf numFmtId="0" fontId="76" fillId="4" borderId="7" xfId="0" applyFont="1" applyFill="1" applyBorder="1" applyAlignment="1">
      <alignment horizontal="center" vertical="center"/>
    </xf>
    <xf numFmtId="0" fontId="76" fillId="4" borderId="23" xfId="0" applyFont="1" applyFill="1" applyBorder="1" applyAlignment="1">
      <alignment horizontal="center" vertical="center"/>
    </xf>
    <xf numFmtId="0" fontId="77" fillId="4" borderId="11" xfId="0" applyFont="1" applyFill="1" applyBorder="1" applyAlignment="1">
      <alignment horizontal="center" vertical="center"/>
    </xf>
    <xf numFmtId="0" fontId="77" fillId="13" borderId="1" xfId="0" applyFont="1" applyFill="1" applyBorder="1" applyAlignment="1">
      <alignment horizontal="center" vertical="center"/>
    </xf>
    <xf numFmtId="0" fontId="77" fillId="13" borderId="13" xfId="0" applyFont="1" applyFill="1" applyBorder="1" applyAlignment="1">
      <alignment horizontal="center" vertical="center"/>
    </xf>
    <xf numFmtId="0" fontId="77" fillId="4" borderId="1" xfId="0" applyFont="1" applyFill="1" applyBorder="1" applyAlignment="1">
      <alignment horizontal="center" vertical="center"/>
    </xf>
    <xf numFmtId="0" fontId="77" fillId="13" borderId="28" xfId="0" applyFont="1" applyFill="1" applyBorder="1" applyAlignment="1">
      <alignment horizontal="center" vertical="center"/>
    </xf>
    <xf numFmtId="0" fontId="77" fillId="13" borderId="7" xfId="0" applyFont="1" applyFill="1" applyBorder="1" applyAlignment="1">
      <alignment horizontal="center" vertical="center"/>
    </xf>
    <xf numFmtId="0" fontId="77" fillId="13" borderId="11" xfId="0" applyFont="1" applyFill="1" applyBorder="1" applyAlignment="1">
      <alignment horizontal="center" vertical="center"/>
    </xf>
    <xf numFmtId="0" fontId="78" fillId="4" borderId="11" xfId="0" applyFont="1" applyFill="1" applyBorder="1" applyAlignment="1">
      <alignment horizontal="center" vertical="center"/>
    </xf>
    <xf numFmtId="0" fontId="78" fillId="13" borderId="28" xfId="0" applyFont="1" applyFill="1" applyBorder="1" applyAlignment="1">
      <alignment horizontal="center" vertical="center"/>
    </xf>
    <xf numFmtId="0" fontId="78" fillId="13" borderId="7" xfId="0" applyFont="1" applyFill="1" applyBorder="1" applyAlignment="1">
      <alignment horizontal="center" vertical="center"/>
    </xf>
    <xf numFmtId="0" fontId="78" fillId="13" borderId="11" xfId="0" applyFont="1" applyFill="1" applyBorder="1" applyAlignment="1">
      <alignment horizontal="center" vertical="center"/>
    </xf>
    <xf numFmtId="0" fontId="77" fillId="4" borderId="23" xfId="0" applyFont="1" applyFill="1" applyBorder="1" applyAlignment="1">
      <alignment horizontal="center" vertical="center"/>
    </xf>
    <xf numFmtId="6" fontId="76" fillId="4" borderId="23" xfId="0" applyNumberFormat="1" applyFont="1" applyFill="1" applyBorder="1" applyAlignment="1">
      <alignment horizontal="center" vertical="center"/>
    </xf>
    <xf numFmtId="6" fontId="76" fillId="4" borderId="28" xfId="0" applyNumberFormat="1" applyFont="1" applyFill="1" applyBorder="1" applyAlignment="1">
      <alignment horizontal="center" vertical="center"/>
    </xf>
    <xf numFmtId="6" fontId="76" fillId="4" borderId="7" xfId="0" applyNumberFormat="1" applyFont="1" applyFill="1" applyBorder="1" applyAlignment="1">
      <alignment horizontal="center" vertical="center"/>
    </xf>
    <xf numFmtId="6" fontId="76" fillId="4" borderId="11" xfId="0" applyNumberFormat="1" applyFont="1" applyFill="1" applyBorder="1" applyAlignment="1">
      <alignment horizontal="center" vertical="center"/>
    </xf>
    <xf numFmtId="6" fontId="76" fillId="13" borderId="28" xfId="0" applyNumberFormat="1" applyFont="1" applyFill="1" applyBorder="1" applyAlignment="1">
      <alignment horizontal="center" vertical="center"/>
    </xf>
    <xf numFmtId="6" fontId="76" fillId="13" borderId="7" xfId="0" applyNumberFormat="1" applyFont="1" applyFill="1" applyBorder="1" applyAlignment="1">
      <alignment horizontal="center" vertical="center"/>
    </xf>
    <xf numFmtId="6" fontId="76" fillId="13" borderId="11" xfId="0" applyNumberFormat="1" applyFont="1" applyFill="1" applyBorder="1" applyAlignment="1">
      <alignment horizontal="center" vertical="center"/>
    </xf>
    <xf numFmtId="6" fontId="76" fillId="13" borderId="1" xfId="0" applyNumberFormat="1" applyFont="1" applyFill="1" applyBorder="1" applyAlignment="1">
      <alignment horizontal="center" vertical="center"/>
    </xf>
    <xf numFmtId="0" fontId="30" fillId="4" borderId="0" xfId="0" applyFont="1" applyFill="1" applyAlignment="1">
      <alignment horizontal="center"/>
    </xf>
    <xf numFmtId="170" fontId="19" fillId="0" borderId="99" xfId="31" applyNumberFormat="1" applyFont="1" applyFill="1" applyBorder="1" applyAlignment="1">
      <alignment horizontal="center" vertical="center"/>
    </xf>
    <xf numFmtId="0" fontId="34" fillId="4" borderId="0" xfId="0" applyFont="1" applyFill="1" applyBorder="1"/>
    <xf numFmtId="0" fontId="79" fillId="4" borderId="0" xfId="0" applyFont="1" applyFill="1" applyBorder="1" applyAlignment="1">
      <alignment horizontal="left" vertical="center" indent="1"/>
    </xf>
    <xf numFmtId="0" fontId="71" fillId="4" borderId="2" xfId="0" applyFont="1" applyFill="1" applyBorder="1" applyAlignment="1">
      <alignment horizontal="left" vertical="center" wrapText="1" indent="1"/>
    </xf>
    <xf numFmtId="172" fontId="71" fillId="4" borderId="0" xfId="0" applyNumberFormat="1" applyFont="1" applyFill="1" applyBorder="1" applyAlignment="1">
      <alignment horizontal="center" vertical="center"/>
    </xf>
    <xf numFmtId="0" fontId="34" fillId="4" borderId="95" xfId="0" applyFont="1" applyFill="1" applyBorder="1" applyAlignment="1">
      <alignment vertical="center" textRotation="90"/>
    </xf>
    <xf numFmtId="0" fontId="52" fillId="9" borderId="103" xfId="0" applyFont="1" applyFill="1" applyBorder="1" applyAlignment="1">
      <alignment horizontal="left" vertical="center" wrapText="1" indent="1"/>
    </xf>
    <xf numFmtId="170" fontId="19" fillId="0" borderId="61" xfId="31" applyNumberFormat="1" applyFont="1" applyFill="1" applyBorder="1" applyAlignment="1">
      <alignment horizontal="center" vertical="center"/>
    </xf>
    <xf numFmtId="0" fontId="45" fillId="15" borderId="73" xfId="0" applyFont="1" applyFill="1" applyBorder="1" applyAlignment="1">
      <alignment vertical="center" wrapText="1"/>
    </xf>
    <xf numFmtId="0" fontId="45" fillId="15" borderId="36" xfId="0" applyFont="1" applyFill="1" applyBorder="1" applyAlignment="1">
      <alignment vertical="center" wrapText="1"/>
    </xf>
    <xf numFmtId="0" fontId="45" fillId="15" borderId="50" xfId="0" applyFont="1" applyFill="1" applyBorder="1" applyAlignment="1">
      <alignment horizontal="center" vertical="center" wrapText="1"/>
    </xf>
    <xf numFmtId="170" fontId="34" fillId="13" borderId="17" xfId="0" applyNumberFormat="1" applyFont="1" applyFill="1" applyBorder="1" applyAlignment="1">
      <alignment horizontal="center" vertical="center" wrapText="1"/>
    </xf>
    <xf numFmtId="170" fontId="70" fillId="13" borderId="12" xfId="0" applyNumberFormat="1" applyFont="1" applyFill="1" applyBorder="1" applyAlignment="1">
      <alignment horizontal="center" vertical="center" wrapText="1"/>
    </xf>
    <xf numFmtId="170" fontId="34" fillId="13" borderId="17" xfId="0" applyNumberFormat="1" applyFont="1" applyFill="1" applyBorder="1" applyAlignment="1">
      <alignment horizontal="center" vertical="center"/>
    </xf>
    <xf numFmtId="0" fontId="76" fillId="13" borderId="12" xfId="0" applyFont="1" applyFill="1" applyBorder="1" applyAlignment="1">
      <alignment horizontal="center" vertical="center"/>
    </xf>
    <xf numFmtId="0" fontId="77" fillId="13" borderId="12" xfId="0" applyFont="1" applyFill="1" applyBorder="1" applyAlignment="1">
      <alignment horizontal="center" vertical="center"/>
    </xf>
    <xf numFmtId="170" fontId="47" fillId="4" borderId="8" xfId="8" applyNumberFormat="1" applyFont="1" applyFill="1" applyBorder="1" applyAlignment="1">
      <alignment horizontal="center" vertical="center"/>
    </xf>
    <xf numFmtId="170" fontId="47" fillId="4" borderId="12" xfId="8" applyNumberFormat="1" applyFont="1" applyFill="1" applyBorder="1" applyAlignment="1">
      <alignment horizontal="center" vertical="center"/>
    </xf>
    <xf numFmtId="170" fontId="47" fillId="4" borderId="9" xfId="8" applyNumberFormat="1" applyFont="1" applyFill="1" applyBorder="1" applyAlignment="1">
      <alignment horizontal="center" vertical="center"/>
    </xf>
    <xf numFmtId="170" fontId="47" fillId="4" borderId="7" xfId="8" applyNumberFormat="1" applyFont="1" applyFill="1" applyBorder="1" applyAlignment="1">
      <alignment horizontal="center" vertical="center"/>
    </xf>
    <xf numFmtId="170" fontId="47" fillId="4" borderId="10" xfId="8" applyNumberFormat="1" applyFont="1" applyFill="1" applyBorder="1" applyAlignment="1">
      <alignment horizontal="center" vertical="center"/>
    </xf>
    <xf numFmtId="170" fontId="47" fillId="4" borderId="11" xfId="8" applyNumberFormat="1" applyFont="1" applyFill="1" applyBorder="1" applyAlignment="1">
      <alignment horizontal="center" vertical="center"/>
    </xf>
    <xf numFmtId="0" fontId="47" fillId="4" borderId="17" xfId="11" applyFont="1" applyFill="1" applyBorder="1" applyAlignment="1">
      <alignment horizontal="left" vertical="center" indent="1"/>
    </xf>
    <xf numFmtId="0" fontId="47" fillId="4" borderId="6" xfId="11" applyFont="1" applyFill="1" applyBorder="1" applyAlignment="1">
      <alignment horizontal="left" vertical="center" indent="1"/>
    </xf>
    <xf numFmtId="0" fontId="47" fillId="4" borderId="21" xfId="11" applyFont="1" applyFill="1" applyBorder="1" applyAlignment="1">
      <alignment horizontal="left" vertical="center" indent="1"/>
    </xf>
    <xf numFmtId="0" fontId="47" fillId="4" borderId="2" xfId="11" applyFont="1" applyFill="1" applyBorder="1" applyAlignment="1">
      <alignment horizontal="left" vertical="center" indent="1"/>
    </xf>
    <xf numFmtId="0" fontId="55" fillId="9" borderId="37" xfId="0" applyFont="1" applyFill="1" applyBorder="1" applyAlignment="1">
      <alignment horizontal="center" vertical="center" wrapText="1"/>
    </xf>
    <xf numFmtId="0" fontId="55" fillId="9" borderId="49" xfId="0" applyFont="1" applyFill="1" applyBorder="1" applyAlignment="1">
      <alignment horizontal="center" vertical="center" wrapText="1"/>
    </xf>
    <xf numFmtId="0" fontId="19" fillId="0" borderId="105" xfId="0" applyFont="1" applyBorder="1" applyAlignment="1">
      <alignment horizontal="left" vertical="center" indent="1"/>
    </xf>
    <xf numFmtId="0" fontId="19" fillId="0" borderId="15" xfId="0" applyFont="1" applyBorder="1" applyAlignment="1">
      <alignment horizontal="left" vertical="center" indent="1"/>
    </xf>
    <xf numFmtId="0" fontId="19" fillId="0" borderId="15" xfId="0" applyFont="1" applyBorder="1" applyAlignment="1">
      <alignment horizontal="left" vertical="center" wrapText="1" indent="1"/>
    </xf>
    <xf numFmtId="0" fontId="19" fillId="4" borderId="15" xfId="0" applyFont="1" applyFill="1" applyBorder="1" applyAlignment="1">
      <alignment horizontal="left" vertical="center" wrapText="1" indent="1"/>
    </xf>
    <xf numFmtId="49" fontId="19" fillId="0" borderId="15" xfId="0" applyNumberFormat="1" applyFont="1" applyBorder="1" applyAlignment="1">
      <alignment horizontal="center" vertical="center"/>
    </xf>
    <xf numFmtId="170" fontId="47" fillId="4" borderId="0" xfId="0" applyNumberFormat="1" applyFont="1" applyFill="1" applyBorder="1" applyAlignment="1">
      <alignment horizontal="right" vertical="center" indent="1"/>
    </xf>
    <xf numFmtId="0" fontId="62" fillId="4" borderId="6" xfId="0" applyFont="1" applyFill="1" applyBorder="1" applyAlignment="1">
      <alignment horizontal="left" vertical="center" indent="1"/>
    </xf>
    <xf numFmtId="170" fontId="47" fillId="4" borderId="24" xfId="0" applyNumberFormat="1" applyFont="1" applyFill="1" applyBorder="1" applyAlignment="1">
      <alignment horizontal="center" vertical="center"/>
    </xf>
    <xf numFmtId="0" fontId="62" fillId="4" borderId="22" xfId="0" applyFont="1" applyFill="1" applyBorder="1" applyAlignment="1">
      <alignment horizontal="left" vertical="center" indent="1"/>
    </xf>
    <xf numFmtId="0" fontId="52" fillId="9" borderId="0" xfId="0" applyFont="1" applyFill="1" applyBorder="1" applyAlignment="1">
      <alignment horizontal="center" vertical="center"/>
    </xf>
    <xf numFmtId="0" fontId="19" fillId="0" borderId="10" xfId="0" applyFont="1" applyBorder="1" applyAlignment="1">
      <alignment horizontal="left" vertical="center" indent="1"/>
    </xf>
    <xf numFmtId="0" fontId="19" fillId="0" borderId="105" xfId="0" applyFont="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73" fillId="0" borderId="0" xfId="0" applyFont="1" applyAlignment="1">
      <alignment horizontal="left" vertical="center"/>
    </xf>
    <xf numFmtId="0" fontId="45" fillId="9" borderId="108" xfId="0" applyFont="1" applyFill="1" applyBorder="1" applyAlignment="1">
      <alignment horizontal="center" vertical="center"/>
    </xf>
    <xf numFmtId="3" fontId="34" fillId="4" borderId="12" xfId="0" applyNumberFormat="1" applyFont="1" applyFill="1" applyBorder="1" applyAlignment="1">
      <alignment horizontal="right" vertical="center" wrapText="1" indent="1"/>
    </xf>
    <xf numFmtId="3" fontId="34" fillId="4" borderId="112" xfId="0" applyNumberFormat="1" applyFont="1" applyFill="1" applyBorder="1" applyAlignment="1">
      <alignment horizontal="right" vertical="center" wrapText="1" indent="1"/>
    </xf>
    <xf numFmtId="0" fontId="19" fillId="4" borderId="6" xfId="0" applyFont="1" applyFill="1" applyBorder="1" applyAlignment="1">
      <alignment horizontal="left" vertical="center" indent="1"/>
    </xf>
    <xf numFmtId="0" fontId="19" fillId="4" borderId="17" xfId="0" applyFont="1" applyFill="1" applyBorder="1" applyAlignment="1">
      <alignment horizontal="left" vertical="center"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170" fontId="19" fillId="4" borderId="6"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0" fontId="45" fillId="9" borderId="71" xfId="0" applyFont="1" applyFill="1" applyBorder="1" applyAlignment="1">
      <alignment horizontal="center" vertical="center"/>
    </xf>
    <xf numFmtId="0" fontId="7"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0" xfId="0" applyFont="1" applyFill="1" applyBorder="1" applyAlignment="1">
      <alignment horizontal="left" vertical="center" indent="1"/>
    </xf>
    <xf numFmtId="0" fontId="45" fillId="9" borderId="43" xfId="0" applyFont="1" applyFill="1" applyBorder="1" applyAlignment="1">
      <alignment horizontal="center" vertical="center"/>
    </xf>
    <xf numFmtId="0" fontId="34" fillId="4" borderId="0" xfId="0" applyFont="1" applyFill="1" applyAlignment="1"/>
    <xf numFmtId="0" fontId="45" fillId="9" borderId="36" xfId="0" applyFont="1" applyFill="1" applyBorder="1" applyAlignment="1">
      <alignment horizontal="center" vertical="center" wrapText="1"/>
    </xf>
    <xf numFmtId="0" fontId="45" fillId="9" borderId="43" xfId="0" applyFont="1" applyFill="1" applyBorder="1" applyAlignment="1">
      <alignment horizontal="center" vertical="center" wrapText="1"/>
    </xf>
    <xf numFmtId="170" fontId="19" fillId="4" borderId="1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0" fontId="45" fillId="9" borderId="71" xfId="0" applyFont="1" applyFill="1" applyBorder="1" applyAlignment="1">
      <alignment horizontal="center" vertical="center"/>
    </xf>
    <xf numFmtId="6" fontId="45" fillId="9" borderId="36"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0" fontId="34" fillId="4" borderId="0" xfId="0" applyFont="1" applyFill="1" applyAlignment="1"/>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172" fontId="80" fillId="4" borderId="98" xfId="0" applyNumberFormat="1" applyFont="1" applyFill="1" applyBorder="1" applyAlignment="1">
      <alignment horizontal="center" vertical="center"/>
    </xf>
    <xf numFmtId="172" fontId="80" fillId="4" borderId="101" xfId="0" applyNumberFormat="1" applyFont="1" applyFill="1" applyBorder="1" applyAlignment="1">
      <alignment horizontal="center" vertical="center"/>
    </xf>
    <xf numFmtId="172" fontId="80" fillId="4" borderId="61" xfId="0" applyNumberFormat="1" applyFont="1" applyFill="1" applyBorder="1" applyAlignment="1">
      <alignment horizontal="center" vertical="center"/>
    </xf>
    <xf numFmtId="172" fontId="80" fillId="4" borderId="99" xfId="0" applyNumberFormat="1" applyFont="1" applyFill="1" applyBorder="1" applyAlignment="1">
      <alignment horizontal="center" vertical="center"/>
    </xf>
    <xf numFmtId="172" fontId="80" fillId="4" borderId="102" xfId="0" applyNumberFormat="1" applyFont="1" applyFill="1" applyBorder="1" applyAlignment="1">
      <alignment horizontal="center" vertical="center"/>
    </xf>
    <xf numFmtId="172" fontId="80" fillId="4" borderId="23" xfId="0" applyNumberFormat="1" applyFont="1" applyFill="1" applyBorder="1" applyAlignment="1">
      <alignment horizontal="center" vertical="center"/>
    </xf>
    <xf numFmtId="170" fontId="81" fillId="4" borderId="3" xfId="0" applyNumberFormat="1" applyFont="1" applyFill="1" applyBorder="1" applyAlignment="1">
      <alignment horizontal="center" vertical="center"/>
    </xf>
    <xf numFmtId="170" fontId="81" fillId="4" borderId="18" xfId="0" applyNumberFormat="1" applyFont="1" applyFill="1" applyBorder="1" applyAlignment="1">
      <alignment horizontal="center" vertical="center"/>
    </xf>
    <xf numFmtId="170" fontId="80" fillId="4" borderId="29" xfId="0" applyNumberFormat="1" applyFont="1" applyFill="1" applyBorder="1" applyAlignment="1">
      <alignment horizontal="center" vertical="center"/>
    </xf>
    <xf numFmtId="170" fontId="80" fillId="4" borderId="12" xfId="0" applyNumberFormat="1" applyFont="1" applyFill="1" applyBorder="1" applyAlignment="1">
      <alignment horizontal="center" vertical="center"/>
    </xf>
    <xf numFmtId="170" fontId="80" fillId="4" borderId="21" xfId="0" applyNumberFormat="1" applyFont="1" applyFill="1" applyBorder="1" applyAlignment="1">
      <alignment horizontal="center" vertical="center"/>
    </xf>
    <xf numFmtId="170" fontId="80" fillId="4" borderId="7" xfId="0" applyNumberFormat="1" applyFont="1" applyFill="1" applyBorder="1" applyAlignment="1">
      <alignment horizontal="center" vertical="center"/>
    </xf>
    <xf numFmtId="170" fontId="80" fillId="4" borderId="31" xfId="0" applyNumberFormat="1" applyFont="1" applyFill="1" applyBorder="1" applyAlignment="1">
      <alignment horizontal="center" vertical="center"/>
    </xf>
    <xf numFmtId="170" fontId="80" fillId="4" borderId="13" xfId="0" applyNumberFormat="1" applyFont="1" applyFill="1" applyBorder="1" applyAlignment="1">
      <alignment horizontal="center" vertical="center"/>
    </xf>
    <xf numFmtId="170" fontId="80" fillId="4" borderId="17" xfId="0" applyNumberFormat="1" applyFont="1" applyFill="1" applyBorder="1" applyAlignment="1">
      <alignment horizontal="center" vertical="center"/>
    </xf>
    <xf numFmtId="170" fontId="80" fillId="4" borderId="6" xfId="0" applyNumberFormat="1" applyFont="1" applyFill="1" applyBorder="1" applyAlignment="1">
      <alignment horizontal="center" vertical="center"/>
    </xf>
    <xf numFmtId="170" fontId="80" fillId="4" borderId="22" xfId="0" applyNumberFormat="1" applyFont="1" applyFill="1" applyBorder="1" applyAlignment="1">
      <alignment horizontal="center" vertical="center"/>
    </xf>
    <xf numFmtId="170" fontId="80" fillId="4" borderId="11" xfId="0" applyNumberFormat="1" applyFont="1" applyFill="1" applyBorder="1" applyAlignment="1">
      <alignment horizontal="center" vertical="center"/>
    </xf>
    <xf numFmtId="170" fontId="80" fillId="4" borderId="91" xfId="0" applyNumberFormat="1" applyFont="1" applyFill="1" applyBorder="1" applyAlignment="1">
      <alignment horizontal="center" vertical="center"/>
    </xf>
    <xf numFmtId="0" fontId="45" fillId="9" borderId="54" xfId="0" applyFont="1" applyFill="1" applyBorder="1" applyAlignment="1">
      <alignment horizontal="left" vertical="center" indent="1"/>
    </xf>
    <xf numFmtId="170" fontId="19" fillId="0" borderId="102" xfId="31"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170" fontId="47" fillId="4" borderId="24"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center" vertical="center"/>
    </xf>
    <xf numFmtId="0" fontId="34" fillId="4" borderId="34"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27" xfId="0" applyFont="1" applyFill="1" applyBorder="1" applyAlignment="1">
      <alignment horizontal="left" vertical="center" wrapText="1" indent="1"/>
    </xf>
    <xf numFmtId="0" fontId="34" fillId="4" borderId="4" xfId="0" applyFont="1" applyFill="1" applyBorder="1" applyAlignment="1">
      <alignment horizontal="left" vertical="center" wrapText="1" indent="1"/>
    </xf>
    <xf numFmtId="0" fontId="45" fillId="9" borderId="126" xfId="0" applyFont="1" applyFill="1" applyBorder="1" applyAlignment="1">
      <alignment horizontal="center" vertical="center"/>
    </xf>
    <xf numFmtId="170" fontId="34" fillId="4" borderId="17" xfId="0" applyNumberFormat="1" applyFont="1" applyFill="1" applyBorder="1" applyAlignment="1">
      <alignment horizontal="center" vertical="center"/>
    </xf>
    <xf numFmtId="0" fontId="34" fillId="4" borderId="20" xfId="0" applyFont="1" applyFill="1" applyBorder="1" applyAlignment="1">
      <alignment horizontal="left" vertical="center" wrapText="1" indent="1"/>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34" fillId="4" borderId="16" xfId="0" applyFont="1" applyFill="1" applyBorder="1" applyAlignment="1">
      <alignment horizontal="left" vertical="center" wrapText="1" indent="1"/>
    </xf>
    <xf numFmtId="0" fontId="34" fillId="4" borderId="3" xfId="0" applyFont="1" applyFill="1" applyBorder="1" applyAlignment="1">
      <alignment horizontal="center" vertical="center" wrapText="1"/>
    </xf>
    <xf numFmtId="170" fontId="34" fillId="0" borderId="12" xfId="0" applyNumberFormat="1" applyFont="1" applyFill="1" applyBorder="1" applyAlignment="1">
      <alignment horizontal="center" vertical="center"/>
    </xf>
    <xf numFmtId="170" fontId="80" fillId="4" borderId="101" xfId="0" applyNumberFormat="1" applyFont="1" applyFill="1" applyBorder="1" applyAlignment="1">
      <alignment horizontal="center" vertical="center"/>
    </xf>
    <xf numFmtId="170" fontId="80" fillId="4" borderId="61" xfId="0" applyNumberFormat="1" applyFont="1" applyFill="1" applyBorder="1" applyAlignment="1">
      <alignment horizontal="center" vertical="center"/>
    </xf>
    <xf numFmtId="170" fontId="80" fillId="4" borderId="98" xfId="0" applyNumberFormat="1" applyFont="1" applyFill="1" applyBorder="1" applyAlignment="1">
      <alignment horizontal="center" vertical="center"/>
    </xf>
    <xf numFmtId="170" fontId="19" fillId="25" borderId="61" xfId="31" applyNumberFormat="1" applyFont="1" applyFill="1" applyBorder="1" applyAlignment="1">
      <alignment horizontal="center" vertical="center"/>
    </xf>
    <xf numFmtId="170" fontId="19" fillId="25" borderId="23" xfId="31" applyNumberFormat="1" applyFont="1" applyFill="1" applyBorder="1" applyAlignment="1">
      <alignment horizontal="center" vertical="center"/>
    </xf>
    <xf numFmtId="170" fontId="19" fillId="26" borderId="98" xfId="31" applyNumberFormat="1" applyFont="1" applyFill="1" applyBorder="1" applyAlignment="1">
      <alignment horizontal="center" vertical="center"/>
    </xf>
    <xf numFmtId="170" fontId="19" fillId="26" borderId="101" xfId="31" applyNumberFormat="1" applyFont="1" applyFill="1" applyBorder="1" applyAlignment="1">
      <alignment horizontal="center" vertical="center"/>
    </xf>
    <xf numFmtId="170" fontId="19" fillId="26" borderId="23" xfId="31" applyNumberFormat="1" applyFont="1" applyFill="1" applyBorder="1" applyAlignment="1">
      <alignment horizontal="center" vertical="center"/>
    </xf>
    <xf numFmtId="170" fontId="19" fillId="26" borderId="11" xfId="31" applyNumberFormat="1" applyFont="1" applyFill="1" applyBorder="1" applyAlignment="1">
      <alignment horizontal="center" vertical="center"/>
    </xf>
    <xf numFmtId="170" fontId="19" fillId="26" borderId="120" xfId="31" applyNumberFormat="1" applyFont="1" applyFill="1" applyBorder="1" applyAlignment="1">
      <alignment horizontal="center" vertical="center"/>
    </xf>
    <xf numFmtId="170" fontId="19" fillId="26" borderId="99" xfId="31" applyNumberFormat="1" applyFont="1" applyFill="1" applyBorder="1" applyAlignment="1">
      <alignment horizontal="center" vertical="center"/>
    </xf>
    <xf numFmtId="0" fontId="34" fillId="4" borderId="17" xfId="0" applyFont="1" applyFill="1" applyBorder="1" applyAlignment="1">
      <alignment horizontal="left" vertical="center" indent="1"/>
    </xf>
    <xf numFmtId="170" fontId="34" fillId="4" borderId="6"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0" fontId="34" fillId="4" borderId="29" xfId="0" applyFont="1" applyFill="1" applyBorder="1" applyAlignment="1">
      <alignment horizontal="center" vertical="center"/>
    </xf>
    <xf numFmtId="0" fontId="30" fillId="4" borderId="3" xfId="0" applyFont="1" applyFill="1" applyBorder="1"/>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3" fillId="4" borderId="0" xfId="0" applyFont="1" applyFill="1" applyBorder="1" applyAlignment="1">
      <alignment horizontal="center" vertical="center"/>
    </xf>
    <xf numFmtId="0" fontId="30"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3" fillId="7" borderId="0" xfId="0" applyNumberFormat="1" applyFont="1" applyFill="1" applyBorder="1" applyAlignment="1">
      <alignment horizontal="center" vertical="center" wrapText="1"/>
    </xf>
    <xf numFmtId="49" fontId="30" fillId="4" borderId="0" xfId="0" applyNumberFormat="1" applyFont="1" applyFill="1" applyBorder="1" applyAlignment="1">
      <alignment horizontal="center" vertical="center"/>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4" fillId="4" borderId="6"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22"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171" fontId="19" fillId="4" borderId="6" xfId="0" applyNumberFormat="1" applyFont="1" applyFill="1" applyBorder="1" applyAlignment="1">
      <alignment horizontal="center" vertical="center" wrapText="1"/>
    </xf>
    <xf numFmtId="171" fontId="19" fillId="4" borderId="7" xfId="0" applyNumberFormat="1" applyFont="1" applyFill="1" applyBorder="1" applyAlignment="1">
      <alignment horizontal="center" vertical="center" wrapText="1"/>
    </xf>
    <xf numFmtId="0" fontId="34" fillId="4" borderId="13"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171" fontId="19" fillId="4" borderId="18" xfId="0" applyNumberFormat="1" applyFont="1" applyFill="1" applyBorder="1" applyAlignment="1">
      <alignment horizontal="center" vertical="center" wrapText="1"/>
    </xf>
    <xf numFmtId="171" fontId="19" fillId="4" borderId="11" xfId="0" applyNumberFormat="1" applyFont="1" applyFill="1" applyBorder="1" applyAlignment="1">
      <alignment horizontal="center" vertical="center" wrapText="1"/>
    </xf>
    <xf numFmtId="166" fontId="34" fillId="4" borderId="20" xfId="0" applyNumberFormat="1" applyFont="1" applyFill="1" applyBorder="1" applyAlignment="1">
      <alignment horizontal="center" vertical="center"/>
    </xf>
    <xf numFmtId="166" fontId="34" fillId="4" borderId="16" xfId="0" applyNumberFormat="1" applyFont="1" applyFill="1" applyBorder="1" applyAlignment="1">
      <alignment horizontal="center" vertical="center"/>
    </xf>
    <xf numFmtId="166" fontId="34" fillId="4" borderId="10" xfId="0"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37" xfId="0" applyFont="1" applyFill="1" applyBorder="1" applyAlignment="1">
      <alignment horizontal="center" vertical="center" wrapText="1" readingOrder="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36" xfId="0" applyFont="1" applyFill="1" applyBorder="1" applyAlignment="1">
      <alignment horizontal="center" vertical="center" wrapText="1" readingOrder="1"/>
    </xf>
    <xf numFmtId="0" fontId="34" fillId="4" borderId="41" xfId="0" applyFont="1" applyFill="1" applyBorder="1" applyAlignment="1">
      <alignment horizontal="left" vertical="center" wrapText="1" indent="1"/>
    </xf>
    <xf numFmtId="0" fontId="34" fillId="4" borderId="42" xfId="0" applyFont="1" applyFill="1" applyBorder="1" applyAlignment="1">
      <alignment horizontal="left" vertical="center" wrapText="1" indent="1"/>
    </xf>
    <xf numFmtId="0" fontId="54" fillId="9" borderId="0" xfId="0" applyFont="1" applyFill="1" applyBorder="1" applyAlignment="1">
      <alignment horizontal="center" vertical="center" wrapText="1" readingOrder="1"/>
    </xf>
    <xf numFmtId="0" fontId="54" fillId="9" borderId="36" xfId="0" applyFont="1" applyFill="1" applyBorder="1" applyAlignment="1">
      <alignment horizontal="center" vertical="center" wrapText="1" readingOrder="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47" fillId="4" borderId="17"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12" xfId="0" applyFont="1" applyFill="1" applyBorder="1" applyAlignment="1">
      <alignment horizontal="left" vertical="center" indent="1"/>
    </xf>
    <xf numFmtId="0" fontId="34" fillId="4" borderId="19"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28" xfId="0" applyFont="1" applyFill="1" applyBorder="1" applyAlignment="1">
      <alignment horizontal="left" vertical="center" wrapText="1" indent="1"/>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6" xfId="0" applyFont="1" applyFill="1" applyBorder="1" applyAlignment="1">
      <alignment horizontal="left" vertical="center" indent="1"/>
    </xf>
    <xf numFmtId="0" fontId="47" fillId="4" borderId="21" xfId="0" applyFont="1" applyFill="1" applyBorder="1" applyAlignment="1">
      <alignment horizontal="left" vertical="center" indent="1"/>
    </xf>
    <xf numFmtId="0" fontId="47" fillId="4" borderId="7" xfId="0" applyFont="1" applyFill="1" applyBorder="1" applyAlignment="1">
      <alignment horizontal="left" vertical="center" indent="1"/>
    </xf>
    <xf numFmtId="0" fontId="47" fillId="4" borderId="22"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3" xfId="0" applyFont="1" applyFill="1" applyBorder="1" applyAlignment="1">
      <alignment horizontal="left" vertical="center" indent="1"/>
    </xf>
    <xf numFmtId="0" fontId="52" fillId="17" borderId="26" xfId="0" applyFont="1" applyFill="1" applyBorder="1" applyAlignment="1">
      <alignment horizontal="center" vertical="center"/>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0" borderId="1" xfId="0" applyFont="1" applyFill="1" applyBorder="1" applyAlignment="1">
      <alignment horizontal="center" vertical="center" textRotation="90"/>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45" fillId="21" borderId="0"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52" fillId="24" borderId="0" xfId="0" applyFont="1" applyFill="1" applyBorder="1" applyAlignment="1">
      <alignment horizontal="center" vertical="center"/>
    </xf>
    <xf numFmtId="0" fontId="45" fillId="22" borderId="0" xfId="0" applyFont="1" applyFill="1" applyBorder="1" applyAlignment="1">
      <alignment horizontal="center" vertical="center"/>
    </xf>
    <xf numFmtId="0" fontId="45" fillId="22" borderId="68" xfId="0" applyFont="1" applyFill="1" applyBorder="1" applyAlignment="1">
      <alignment horizontal="center" vertical="center"/>
    </xf>
    <xf numFmtId="0" fontId="48" fillId="7" borderId="30" xfId="0" applyNumberFormat="1" applyFont="1" applyFill="1" applyBorder="1" applyAlignment="1">
      <alignment horizontal="center" vertical="center" wrapText="1"/>
    </xf>
    <xf numFmtId="0" fontId="48" fillId="7" borderId="27" xfId="0" applyNumberFormat="1" applyFont="1" applyFill="1" applyBorder="1" applyAlignment="1">
      <alignment horizontal="center" vertical="center" wrapText="1"/>
    </xf>
    <xf numFmtId="0" fontId="48" fillId="7" borderId="23" xfId="0" applyNumberFormat="1" applyFont="1" applyFill="1" applyBorder="1" applyAlignment="1">
      <alignment horizontal="center" vertical="center" wrapText="1"/>
    </xf>
    <xf numFmtId="0" fontId="34" fillId="4" borderId="63" xfId="0" applyFont="1" applyFill="1" applyBorder="1" applyAlignment="1">
      <alignment horizontal="left" vertical="center" wrapText="1" indent="1"/>
    </xf>
    <xf numFmtId="0" fontId="60" fillId="0" borderId="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47" fillId="4" borderId="24" xfId="0" applyFont="1" applyFill="1" applyBorder="1" applyAlignment="1">
      <alignment horizontal="left" vertical="center" indent="1"/>
    </xf>
    <xf numFmtId="0" fontId="47" fillId="4" borderId="32" xfId="0" applyFont="1" applyFill="1" applyBorder="1" applyAlignment="1">
      <alignment horizontal="left" vertical="center" indent="1"/>
    </xf>
    <xf numFmtId="0" fontId="47" fillId="4" borderId="25" xfId="0" applyFont="1" applyFill="1" applyBorder="1" applyAlignment="1">
      <alignment horizontal="left" vertical="center" indent="1"/>
    </xf>
    <xf numFmtId="0" fontId="19" fillId="4" borderId="24"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45" fillId="21" borderId="65" xfId="0" applyFont="1" applyFill="1" applyBorder="1" applyAlignment="1">
      <alignment horizontal="center" vertical="center"/>
    </xf>
    <xf numFmtId="0" fontId="45" fillId="22" borderId="66" xfId="0" applyFont="1" applyFill="1" applyBorder="1" applyAlignment="1">
      <alignment horizontal="center" vertical="center"/>
    </xf>
    <xf numFmtId="0" fontId="45" fillId="22" borderId="67" xfId="0"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12" xfId="0" applyFont="1" applyFill="1" applyBorder="1" applyAlignment="1">
      <alignment horizontal="left" vertical="center" indent="1"/>
    </xf>
    <xf numFmtId="0" fontId="19" fillId="4" borderId="24" xfId="0" applyFont="1" applyFill="1" applyBorder="1" applyAlignment="1">
      <alignment horizontal="left" vertical="center" indent="1"/>
    </xf>
    <xf numFmtId="0" fontId="19" fillId="4" borderId="32" xfId="0" applyFont="1" applyFill="1" applyBorder="1" applyAlignment="1">
      <alignment horizontal="left" vertical="center" indent="1"/>
    </xf>
    <xf numFmtId="0" fontId="19" fillId="4" borderId="25" xfId="0" applyFont="1" applyFill="1" applyBorder="1" applyAlignment="1">
      <alignment horizontal="left" vertical="center" indent="1"/>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1" xfId="0" applyFont="1" applyFill="1" applyBorder="1" applyAlignment="1">
      <alignment horizontal="left" vertical="center" indent="1"/>
    </xf>
    <xf numFmtId="0" fontId="34" fillId="0" borderId="13" xfId="0" applyFont="1" applyFill="1" applyBorder="1" applyAlignment="1">
      <alignment horizontal="left" vertical="center" indent="1"/>
    </xf>
    <xf numFmtId="170" fontId="34" fillId="13" borderId="25" xfId="0" applyNumberFormat="1" applyFont="1" applyFill="1" applyBorder="1" applyAlignment="1">
      <alignment horizontal="center" vertical="center"/>
    </xf>
    <xf numFmtId="170" fontId="34" fillId="13" borderId="12" xfId="0" applyNumberFormat="1" applyFont="1" applyFill="1" applyBorder="1" applyAlignment="1">
      <alignment horizontal="center" vertical="center"/>
    </xf>
    <xf numFmtId="0" fontId="34" fillId="4" borderId="24"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45" fillId="9" borderId="36"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170" fontId="34" fillId="4" borderId="24"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0" fontId="34" fillId="4" borderId="24" xfId="0" applyFont="1" applyFill="1" applyBorder="1" applyAlignment="1">
      <alignment horizontal="left" vertical="center" indent="1"/>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0" fontId="34" fillId="4" borderId="17" xfId="0" applyFont="1" applyFill="1" applyBorder="1" applyAlignment="1">
      <alignment horizontal="left" vertical="center" indent="1"/>
    </xf>
    <xf numFmtId="0" fontId="34" fillId="4" borderId="29" xfId="0" applyFont="1" applyFill="1" applyBorder="1" applyAlignment="1">
      <alignment horizontal="left" vertical="center" indent="1"/>
    </xf>
    <xf numFmtId="0" fontId="34" fillId="4" borderId="12" xfId="0" applyFont="1" applyFill="1" applyBorder="1" applyAlignment="1">
      <alignment horizontal="left" vertical="center" indent="1"/>
    </xf>
    <xf numFmtId="0" fontId="34" fillId="18" borderId="1" xfId="0" applyFont="1" applyFill="1" applyBorder="1" applyAlignment="1">
      <alignment horizontal="center" vertical="center" textRotation="90"/>
    </xf>
    <xf numFmtId="0" fontId="34" fillId="18" borderId="62" xfId="0" applyFont="1" applyFill="1" applyBorder="1" applyAlignment="1">
      <alignment horizontal="center" vertical="center" textRotation="90"/>
    </xf>
    <xf numFmtId="0" fontId="34" fillId="4" borderId="17"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19" borderId="64"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62" xfId="0" applyFont="1" applyFill="1" applyBorder="1" applyAlignment="1">
      <alignment horizontal="center" vertical="center" textRotation="90" wrapText="1"/>
    </xf>
    <xf numFmtId="170" fontId="47" fillId="4" borderId="16" xfId="0" applyNumberFormat="1" applyFont="1" applyFill="1" applyBorder="1" applyAlignment="1">
      <alignment horizontal="center" vertical="center"/>
    </xf>
    <xf numFmtId="170" fontId="47" fillId="4" borderId="10" xfId="0" applyNumberFormat="1" applyFont="1" applyFill="1" applyBorder="1" applyAlignment="1">
      <alignment horizontal="center" vertical="center"/>
    </xf>
    <xf numFmtId="0" fontId="52" fillId="9" borderId="0" xfId="0" applyFont="1" applyFill="1" applyBorder="1" applyAlignment="1">
      <alignment horizontal="left" vertical="center" wrapText="1" indent="1"/>
    </xf>
    <xf numFmtId="170" fontId="47" fillId="4" borderId="17"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22" xfId="0" applyNumberFormat="1" applyFont="1" applyFill="1" applyBorder="1" applyAlignment="1">
      <alignment horizontal="center" vertical="center"/>
    </xf>
    <xf numFmtId="170" fontId="47" fillId="4" borderId="13" xfId="0" applyNumberFormat="1" applyFont="1" applyFill="1" applyBorder="1" applyAlignment="1">
      <alignment horizontal="center" vertical="center"/>
    </xf>
    <xf numFmtId="170" fontId="52" fillId="9" borderId="73" xfId="0" applyNumberFormat="1" applyFont="1" applyFill="1" applyBorder="1" applyAlignment="1">
      <alignment horizontal="center" vertical="center" wrapText="1"/>
    </xf>
    <xf numFmtId="170" fontId="52" fillId="9" borderId="36" xfId="0" applyNumberFormat="1" applyFont="1" applyFill="1" applyBorder="1" applyAlignment="1">
      <alignment horizontal="center" vertical="center" wrapText="1"/>
    </xf>
    <xf numFmtId="172" fontId="81" fillId="4" borderId="22" xfId="0" applyNumberFormat="1" applyFont="1" applyFill="1" applyBorder="1" applyAlignment="1">
      <alignment horizontal="center" vertical="center"/>
    </xf>
    <xf numFmtId="172" fontId="81" fillId="4" borderId="13" xfId="0" applyNumberFormat="1" applyFont="1" applyFill="1" applyBorder="1" applyAlignment="1">
      <alignment horizontal="center" vertical="center"/>
    </xf>
    <xf numFmtId="170" fontId="52" fillId="9" borderId="73" xfId="0" applyNumberFormat="1" applyFont="1" applyFill="1" applyBorder="1" applyAlignment="1">
      <alignment horizontal="center" vertical="center"/>
    </xf>
    <xf numFmtId="170" fontId="52" fillId="9" borderId="36" xfId="0" applyNumberFormat="1" applyFont="1" applyFill="1" applyBorder="1" applyAlignment="1">
      <alignment horizontal="center" vertical="center"/>
    </xf>
    <xf numFmtId="170" fontId="47" fillId="4" borderId="3" xfId="0" applyNumberFormat="1" applyFont="1" applyFill="1" applyBorder="1" applyAlignment="1">
      <alignment horizontal="center" vertical="center"/>
    </xf>
    <xf numFmtId="170" fontId="47" fillId="4" borderId="1"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0" fontId="47" fillId="4" borderId="2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22" xfId="0" applyFont="1" applyFill="1" applyBorder="1" applyAlignment="1">
      <alignment horizontal="center" wrapText="1"/>
    </xf>
    <xf numFmtId="0" fontId="47" fillId="4" borderId="13" xfId="0" applyFont="1" applyFill="1" applyBorder="1" applyAlignment="1">
      <alignment horizontal="center" wrapText="1"/>
    </xf>
    <xf numFmtId="170" fontId="47" fillId="4" borderId="29"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6" xfId="0" applyNumberFormat="1" applyFont="1" applyFill="1" applyBorder="1" applyAlignment="1">
      <alignment horizontal="center" vertical="center"/>
    </xf>
    <xf numFmtId="170" fontId="47" fillId="4" borderId="21"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wrapText="1"/>
    </xf>
    <xf numFmtId="0" fontId="52" fillId="9" borderId="0" xfId="0" applyFont="1" applyFill="1" applyAlignment="1">
      <alignment horizontal="left" vertical="center" indent="1"/>
    </xf>
    <xf numFmtId="0" fontId="62" fillId="4" borderId="3" xfId="0" applyFont="1" applyFill="1" applyBorder="1" applyAlignment="1">
      <alignment horizontal="left" vertical="center" indent="1"/>
    </xf>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0" fontId="72" fillId="9" borderId="0" xfId="0" applyFont="1" applyFill="1" applyAlignment="1">
      <alignment horizontal="center" vertical="center"/>
    </xf>
    <xf numFmtId="0" fontId="47" fillId="4" borderId="2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2" fillId="4" borderId="18" xfId="0" applyFont="1" applyFill="1" applyBorder="1" applyAlignment="1">
      <alignment horizontal="left" vertical="center" indent="1"/>
    </xf>
    <xf numFmtId="0" fontId="52" fillId="9" borderId="0" xfId="0" applyFont="1" applyFill="1" applyBorder="1" applyAlignment="1">
      <alignment horizontal="left" vertical="center" indent="1"/>
    </xf>
    <xf numFmtId="170" fontId="47" fillId="4" borderId="7" xfId="0" applyNumberFormat="1" applyFont="1" applyFill="1" applyBorder="1" applyAlignment="1">
      <alignment horizontal="center" vertical="center"/>
    </xf>
    <xf numFmtId="0" fontId="47" fillId="4" borderId="31"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62" fillId="4" borderId="6" xfId="0" applyFont="1" applyFill="1" applyBorder="1" applyAlignment="1">
      <alignment horizontal="left" vertical="center" indent="1"/>
    </xf>
    <xf numFmtId="0" fontId="62" fillId="4" borderId="7" xfId="0" applyFont="1" applyFill="1" applyBorder="1" applyAlignment="1">
      <alignment horizontal="left" vertical="center" indent="1"/>
    </xf>
    <xf numFmtId="0" fontId="75" fillId="9" borderId="0" xfId="5" applyFont="1" applyFill="1" applyBorder="1" applyAlignment="1">
      <alignment horizontal="center" vertical="center"/>
    </xf>
    <xf numFmtId="0" fontId="26" fillId="9" borderId="0" xfId="5" applyFill="1" applyAlignment="1">
      <alignment horizontal="center" vertical="center"/>
    </xf>
    <xf numFmtId="170" fontId="47" fillId="4" borderId="0" xfId="0" applyNumberFormat="1" applyFont="1" applyFill="1" applyBorder="1" applyAlignment="1">
      <alignment horizontal="right" vertical="center" indent="1"/>
    </xf>
    <xf numFmtId="0" fontId="62" fillId="4" borderId="11" xfId="0" applyFont="1" applyFill="1" applyBorder="1" applyAlignment="1">
      <alignment horizontal="left" vertical="center" indent="1"/>
    </xf>
    <xf numFmtId="170" fontId="47" fillId="4" borderId="4" xfId="0" applyNumberFormat="1" applyFont="1" applyFill="1" applyBorder="1" applyAlignment="1">
      <alignment horizontal="center" vertical="center"/>
    </xf>
    <xf numFmtId="0" fontId="62" fillId="4" borderId="12" xfId="0" applyFont="1" applyFill="1" applyBorder="1" applyAlignment="1">
      <alignment horizontal="left" vertical="center" indent="1"/>
    </xf>
    <xf numFmtId="0" fontId="62" fillId="4" borderId="22" xfId="0" applyFont="1" applyFill="1" applyBorder="1" applyAlignment="1">
      <alignment horizontal="left" vertical="center" indent="1"/>
    </xf>
    <xf numFmtId="0" fontId="62" fillId="4" borderId="13" xfId="0" applyFont="1" applyFill="1" applyBorder="1" applyAlignment="1">
      <alignment horizontal="left" vertical="center" indent="1"/>
    </xf>
    <xf numFmtId="170" fontId="47" fillId="4" borderId="17" xfId="0" applyNumberFormat="1" applyFont="1" applyFill="1" applyBorder="1" applyAlignment="1">
      <alignment horizontal="center" vertical="center" wrapText="1"/>
    </xf>
    <xf numFmtId="170" fontId="47" fillId="4" borderId="29" xfId="0" applyNumberFormat="1" applyFont="1" applyFill="1" applyBorder="1" applyAlignment="1">
      <alignment horizontal="center" vertical="center" wrapText="1"/>
    </xf>
    <xf numFmtId="170" fontId="47" fillId="4" borderId="18" xfId="0" applyNumberFormat="1" applyFont="1" applyFill="1" applyBorder="1" applyAlignment="1">
      <alignment horizontal="center" vertical="center"/>
    </xf>
    <xf numFmtId="170" fontId="47" fillId="4" borderId="11" xfId="0" applyNumberFormat="1" applyFont="1" applyFill="1" applyBorder="1" applyAlignment="1">
      <alignment horizontal="center" vertical="center"/>
    </xf>
    <xf numFmtId="170" fontId="47" fillId="4" borderId="24" xfId="0" applyNumberFormat="1" applyFont="1" applyFill="1" applyBorder="1" applyAlignment="1">
      <alignment horizontal="center" vertical="center"/>
    </xf>
    <xf numFmtId="170" fontId="47" fillId="4" borderId="25" xfId="0" applyNumberFormat="1" applyFont="1" applyFill="1" applyBorder="1" applyAlignment="1">
      <alignment horizontal="center" vertical="center"/>
    </xf>
    <xf numFmtId="170" fontId="47" fillId="4" borderId="6" xfId="0" applyNumberFormat="1" applyFont="1" applyFill="1" applyBorder="1" applyAlignment="1">
      <alignment horizontal="center" vertical="center" wrapText="1"/>
    </xf>
    <xf numFmtId="170" fontId="47" fillId="4" borderId="7" xfId="0" applyNumberFormat="1" applyFont="1" applyFill="1" applyBorder="1" applyAlignment="1">
      <alignment horizontal="center" vertical="center" wrapText="1"/>
    </xf>
    <xf numFmtId="0" fontId="52" fillId="9" borderId="0" xfId="0" applyFont="1" applyFill="1" applyBorder="1" applyAlignment="1">
      <alignment horizontal="center" vertical="center" wrapText="1"/>
    </xf>
    <xf numFmtId="0" fontId="52" fillId="9" borderId="36" xfId="0" applyFont="1" applyFill="1" applyBorder="1" applyAlignment="1">
      <alignment horizontal="center" vertical="center" wrapText="1"/>
    </xf>
    <xf numFmtId="0" fontId="52" fillId="4" borderId="81" xfId="0" applyFont="1" applyFill="1" applyBorder="1" applyAlignment="1">
      <alignment horizontal="center" vertical="center"/>
    </xf>
    <xf numFmtId="170" fontId="81" fillId="4" borderId="0" xfId="0" applyNumberFormat="1" applyFont="1" applyFill="1" applyBorder="1" applyAlignment="1">
      <alignment horizontal="center" vertical="center"/>
    </xf>
    <xf numFmtId="170" fontId="81" fillId="4" borderId="1" xfId="0" applyNumberFormat="1" applyFont="1" applyFill="1" applyBorder="1" applyAlignment="1">
      <alignment horizontal="center" vertical="center"/>
    </xf>
    <xf numFmtId="170" fontId="81" fillId="4" borderId="2" xfId="0" applyNumberFormat="1" applyFont="1" applyFill="1" applyBorder="1" applyAlignment="1">
      <alignment horizontal="center" vertical="center"/>
    </xf>
    <xf numFmtId="170" fontId="81" fillId="4" borderId="11" xfId="0" applyNumberFormat="1" applyFont="1" applyFill="1" applyBorder="1" applyAlignment="1">
      <alignment horizontal="center" vertical="center"/>
    </xf>
    <xf numFmtId="0" fontId="52" fillId="9" borderId="0" xfId="0" applyFont="1" applyFill="1" applyBorder="1" applyAlignment="1">
      <alignment horizontal="center" vertical="center"/>
    </xf>
    <xf numFmtId="0" fontId="52" fillId="9" borderId="36" xfId="0" applyFont="1" applyFill="1" applyBorder="1" applyAlignment="1">
      <alignment horizontal="center" vertical="center"/>
    </xf>
    <xf numFmtId="170" fontId="34" fillId="4" borderId="6" xfId="8" applyNumberFormat="1" applyFont="1" applyFill="1" applyBorder="1" applyAlignment="1">
      <alignment horizontal="center" vertical="center"/>
    </xf>
    <xf numFmtId="170" fontId="34" fillId="4" borderId="7" xfId="8" applyNumberFormat="1" applyFont="1" applyFill="1" applyBorder="1" applyAlignment="1">
      <alignment horizontal="center" vertical="center"/>
    </xf>
    <xf numFmtId="0" fontId="34" fillId="23" borderId="1" xfId="0" applyFont="1" applyFill="1" applyBorder="1" applyAlignment="1">
      <alignment horizontal="center" vertical="center" textRotation="90"/>
    </xf>
    <xf numFmtId="0" fontId="34" fillId="23" borderId="69" xfId="0" applyFont="1" applyFill="1" applyBorder="1" applyAlignment="1">
      <alignment horizontal="center" vertical="center" textRotation="90"/>
    </xf>
    <xf numFmtId="170" fontId="34" fillId="4" borderId="19" xfId="0" applyNumberFormat="1" applyFont="1" applyFill="1" applyBorder="1" applyAlignment="1">
      <alignment horizontal="center" vertical="center"/>
    </xf>
    <xf numFmtId="170" fontId="34" fillId="4" borderId="28" xfId="0" applyNumberFormat="1" applyFont="1" applyFill="1" applyBorder="1" applyAlignment="1">
      <alignment horizontal="center" vertical="center"/>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34" fillId="4" borderId="20"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16"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20" xfId="0" applyFont="1" applyFill="1" applyBorder="1" applyAlignment="1">
      <alignment horizontal="center" vertical="center" wrapText="1"/>
    </xf>
    <xf numFmtId="170" fontId="34" fillId="4" borderId="30" xfId="0" applyNumberFormat="1" applyFont="1" applyFill="1" applyBorder="1" applyAlignment="1">
      <alignment horizontal="center" vertical="center"/>
    </xf>
    <xf numFmtId="170" fontId="34" fillId="4" borderId="23" xfId="0" applyNumberFormat="1" applyFont="1" applyFill="1" applyBorder="1" applyAlignment="1">
      <alignment horizontal="center" vertical="center"/>
    </xf>
    <xf numFmtId="170" fontId="34" fillId="4" borderId="12" xfId="0" applyNumberFormat="1" applyFont="1" applyFill="1" applyBorder="1" applyAlignment="1">
      <alignment horizontal="center" vertical="center"/>
    </xf>
    <xf numFmtId="0" fontId="34" fillId="4" borderId="16" xfId="0" applyFont="1" applyFill="1" applyBorder="1" applyAlignment="1">
      <alignment horizontal="left" vertical="center" wrapText="1" indent="1"/>
    </xf>
    <xf numFmtId="170" fontId="34" fillId="4" borderId="6" xfId="0" applyNumberFormat="1" applyFont="1" applyFill="1" applyBorder="1" applyAlignment="1">
      <alignment horizontal="center" vertical="center"/>
    </xf>
    <xf numFmtId="170" fontId="34" fillId="4" borderId="7" xfId="0" applyNumberFormat="1" applyFont="1" applyFill="1" applyBorder="1" applyAlignment="1">
      <alignment horizontal="center" vertical="center"/>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vertical="center" indent="1"/>
    </xf>
    <xf numFmtId="0" fontId="34" fillId="4" borderId="12" xfId="11" applyFont="1" applyFill="1" applyBorder="1" applyAlignment="1">
      <alignment horizontal="left" vertical="center" indent="1"/>
    </xf>
    <xf numFmtId="0" fontId="34" fillId="4" borderId="6" xfId="11" applyFont="1" applyFill="1" applyBorder="1" applyAlignment="1">
      <alignment horizontal="left" vertical="center" indent="1"/>
    </xf>
    <xf numFmtId="0" fontId="34" fillId="4" borderId="7" xfId="11" applyFont="1" applyFill="1" applyBorder="1" applyAlignment="1">
      <alignment horizontal="left" vertical="center" indent="1"/>
    </xf>
    <xf numFmtId="0" fontId="41" fillId="4" borderId="0" xfId="0" applyFont="1" applyFill="1" applyBorder="1" applyAlignment="1">
      <alignment horizontal="center" vertical="center" wrapText="1"/>
    </xf>
    <xf numFmtId="166" fontId="41" fillId="4" borderId="0" xfId="0" applyNumberFormat="1"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170" fontId="34" fillId="4" borderId="22" xfId="8" applyNumberFormat="1" applyFont="1" applyFill="1" applyBorder="1" applyAlignment="1">
      <alignment horizontal="center" vertical="center"/>
    </xf>
    <xf numFmtId="170" fontId="34" fillId="4" borderId="13" xfId="8"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2" fillId="9" borderId="0" xfId="11" applyFont="1" applyFill="1" applyBorder="1" applyAlignment="1">
      <alignment horizontal="left" vertical="center" wrapText="1" indent="1"/>
    </xf>
    <xf numFmtId="0" fontId="52" fillId="9" borderId="0" xfId="8" applyNumberFormat="1" applyFont="1" applyFill="1" applyBorder="1" applyAlignment="1">
      <alignment horizontal="center" vertical="center"/>
    </xf>
    <xf numFmtId="0" fontId="52" fillId="9" borderId="0" xfId="0" applyFont="1" applyFill="1" applyAlignment="1">
      <alignment horizontal="center"/>
    </xf>
    <xf numFmtId="0" fontId="52" fillId="9" borderId="36" xfId="0" applyFont="1" applyFill="1" applyBorder="1" applyAlignment="1">
      <alignment horizontal="center"/>
    </xf>
    <xf numFmtId="0" fontId="45" fillId="9" borderId="36" xfId="0" applyFont="1" applyFill="1" applyBorder="1" applyAlignment="1">
      <alignment horizontal="center" vertical="center" wrapText="1"/>
    </xf>
    <xf numFmtId="170" fontId="34" fillId="4" borderId="17" xfId="8" applyNumberFormat="1" applyFont="1" applyFill="1" applyBorder="1" applyAlignment="1">
      <alignment horizontal="center" vertical="center"/>
    </xf>
    <xf numFmtId="170" fontId="34" fillId="4" borderId="12" xfId="8" applyNumberFormat="1" applyFont="1" applyFill="1" applyBorder="1" applyAlignment="1">
      <alignment horizontal="center" vertical="center"/>
    </xf>
    <xf numFmtId="170" fontId="83" fillId="4" borderId="17" xfId="0" applyNumberFormat="1" applyFont="1" applyFill="1" applyBorder="1" applyAlignment="1">
      <alignment horizontal="center" vertical="center" wrapText="1" readingOrder="1"/>
    </xf>
    <xf numFmtId="170" fontId="83" fillId="4" borderId="12" xfId="0" applyNumberFormat="1" applyFont="1" applyFill="1" applyBorder="1" applyAlignment="1">
      <alignment horizontal="center" vertical="center" wrapText="1" readingOrder="1"/>
    </xf>
    <xf numFmtId="170" fontId="83" fillId="4" borderId="6" xfId="0" applyNumberFormat="1" applyFont="1" applyFill="1" applyBorder="1" applyAlignment="1">
      <alignment horizontal="center" vertical="center" wrapText="1" readingOrder="1"/>
    </xf>
    <xf numFmtId="170" fontId="83" fillId="4" borderId="7" xfId="0" applyNumberFormat="1" applyFont="1" applyFill="1" applyBorder="1" applyAlignment="1">
      <alignment horizontal="center" vertical="center" wrapText="1" readingOrder="1"/>
    </xf>
    <xf numFmtId="173" fontId="83" fillId="4" borderId="6" xfId="35" applyNumberFormat="1" applyFont="1" applyFill="1" applyBorder="1" applyAlignment="1">
      <alignment horizontal="center" vertical="center"/>
    </xf>
    <xf numFmtId="173" fontId="83" fillId="4" borderId="7" xfId="35" applyNumberFormat="1" applyFont="1" applyFill="1" applyBorder="1" applyAlignment="1">
      <alignment horizontal="center" vertical="center"/>
    </xf>
    <xf numFmtId="173" fontId="83" fillId="4" borderId="18" xfId="35" applyNumberFormat="1" applyFont="1" applyFill="1" applyBorder="1" applyAlignment="1">
      <alignment horizontal="center" vertical="center"/>
    </xf>
    <xf numFmtId="173" fontId="83" fillId="4" borderId="11" xfId="35" applyNumberFormat="1" applyFont="1" applyFill="1" applyBorder="1" applyAlignment="1">
      <alignment horizontal="center" vertical="center"/>
    </xf>
    <xf numFmtId="0" fontId="23" fillId="4" borderId="16" xfId="0" applyFont="1" applyFill="1" applyBorder="1" applyAlignment="1">
      <alignment horizontal="left" vertical="center" wrapText="1" indent="1" readingOrder="1"/>
    </xf>
    <xf numFmtId="0" fontId="23" fillId="4" borderId="10" xfId="0" applyFont="1" applyFill="1" applyBorder="1" applyAlignment="1">
      <alignment horizontal="left" vertical="center" wrapText="1" indent="1" readingOrder="1"/>
    </xf>
    <xf numFmtId="0" fontId="23" fillId="4" borderId="16" xfId="0" applyFont="1" applyFill="1" applyBorder="1" applyAlignment="1">
      <alignment horizontal="center" vertical="center" wrapText="1" readingOrder="1"/>
    </xf>
    <xf numFmtId="0" fontId="23" fillId="4" borderId="10" xfId="0" applyFont="1" applyFill="1" applyBorder="1" applyAlignment="1">
      <alignment horizontal="center" vertical="center" wrapText="1" readingOrder="1"/>
    </xf>
    <xf numFmtId="0" fontId="34" fillId="4" borderId="20" xfId="0" applyFont="1" applyFill="1" applyBorder="1" applyAlignment="1">
      <alignment horizontal="left" vertical="center" indent="1"/>
    </xf>
    <xf numFmtId="0" fontId="34" fillId="4" borderId="10" xfId="0" applyFont="1" applyFill="1" applyBorder="1" applyAlignment="1">
      <alignment horizontal="left" vertical="center" indent="1"/>
    </xf>
    <xf numFmtId="0" fontId="34" fillId="4" borderId="22" xfId="11" applyFont="1" applyFill="1" applyBorder="1" applyAlignment="1">
      <alignment horizontal="left" vertical="center" indent="1"/>
    </xf>
    <xf numFmtId="0" fontId="34" fillId="4" borderId="13" xfId="11" applyFont="1" applyFill="1" applyBorder="1" applyAlignment="1">
      <alignment horizontal="left" vertical="center" indent="1"/>
    </xf>
    <xf numFmtId="170" fontId="34" fillId="4" borderId="3" xfId="0" applyNumberFormat="1" applyFont="1" applyFill="1" applyBorder="1" applyAlignment="1">
      <alignment horizontal="center" vertical="center"/>
    </xf>
    <xf numFmtId="170" fontId="34" fillId="4" borderId="1" xfId="0" applyNumberFormat="1" applyFont="1" applyFill="1" applyBorder="1" applyAlignment="1">
      <alignment horizontal="center" vertical="center"/>
    </xf>
    <xf numFmtId="0" fontId="34" fillId="4" borderId="4" xfId="0" applyFont="1" applyFill="1" applyBorder="1" applyAlignment="1">
      <alignment horizontal="left" vertical="center" wrapText="1" indent="1"/>
    </xf>
    <xf numFmtId="0" fontId="45" fillId="9" borderId="0" xfId="0" applyFont="1" applyFill="1" applyBorder="1" applyAlignment="1">
      <alignment horizontal="left" vertical="center" wrapText="1" indent="1" readingOrder="1"/>
    </xf>
    <xf numFmtId="0" fontId="34" fillId="16" borderId="56" xfId="0" applyFont="1" applyFill="1" applyBorder="1" applyAlignment="1">
      <alignment horizontal="center" vertical="center" textRotation="90"/>
    </xf>
    <xf numFmtId="0" fontId="34" fillId="16" borderId="107" xfId="0" applyFont="1" applyFill="1" applyBorder="1" applyAlignment="1">
      <alignment horizontal="center" vertical="center" textRotation="90"/>
    </xf>
    <xf numFmtId="0" fontId="45" fillId="9" borderId="74"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73" xfId="0" applyFont="1" applyFill="1" applyBorder="1" applyAlignment="1">
      <alignment horizontal="center" vertical="center" wrapText="1"/>
    </xf>
    <xf numFmtId="0" fontId="45" fillId="9" borderId="81" xfId="0" applyFont="1" applyFill="1" applyBorder="1" applyAlignment="1">
      <alignment horizontal="left" vertical="center" wrapText="1" indent="1"/>
    </xf>
    <xf numFmtId="0" fontId="45" fillId="9" borderId="55" xfId="0" applyFont="1" applyFill="1" applyBorder="1" applyAlignment="1">
      <alignment horizontal="left" vertical="center" wrapText="1" indent="1"/>
    </xf>
    <xf numFmtId="0" fontId="45" fillId="9" borderId="81" xfId="0" applyFont="1" applyFill="1" applyBorder="1" applyAlignment="1">
      <alignment horizontal="left" vertical="center" indent="1"/>
    </xf>
    <xf numFmtId="0" fontId="45" fillId="9" borderId="0" xfId="0" applyFont="1" applyFill="1" applyBorder="1" applyAlignment="1">
      <alignment horizontal="left" vertical="center" indent="1"/>
    </xf>
    <xf numFmtId="0" fontId="45" fillId="9" borderId="55" xfId="0" applyFont="1" applyFill="1" applyBorder="1" applyAlignment="1">
      <alignment horizontal="left" vertical="center" indent="1"/>
    </xf>
    <xf numFmtId="0" fontId="45" fillId="9" borderId="78" xfId="0" applyFont="1" applyFill="1" applyBorder="1" applyAlignment="1">
      <alignment horizontal="center" vertical="center" wrapText="1"/>
    </xf>
    <xf numFmtId="0" fontId="45" fillId="9" borderId="60" xfId="0" applyFont="1" applyFill="1" applyBorder="1" applyAlignment="1">
      <alignment horizontal="center" vertical="center" wrapText="1"/>
    </xf>
    <xf numFmtId="0" fontId="57" fillId="9" borderId="73" xfId="0" applyFont="1" applyFill="1" applyBorder="1" applyAlignment="1">
      <alignment horizontal="center" vertical="center" wrapText="1"/>
    </xf>
    <xf numFmtId="0" fontId="57" fillId="9" borderId="36" xfId="0" applyFont="1" applyFill="1" applyBorder="1" applyAlignment="1">
      <alignment horizontal="center" vertical="center" wrapText="1"/>
    </xf>
    <xf numFmtId="170" fontId="34" fillId="4" borderId="127" xfId="0" applyNumberFormat="1" applyFont="1" applyFill="1" applyBorder="1" applyAlignment="1">
      <alignment horizontal="center" vertical="center"/>
    </xf>
    <xf numFmtId="0" fontId="45" fillId="9" borderId="43" xfId="0" applyFont="1" applyFill="1" applyBorder="1" applyAlignment="1">
      <alignment horizontal="left" vertical="center" indent="1"/>
    </xf>
    <xf numFmtId="0" fontId="45" fillId="9" borderId="43" xfId="0" applyFont="1" applyFill="1" applyBorder="1" applyAlignment="1">
      <alignment horizontal="center" vertical="center"/>
    </xf>
    <xf numFmtId="0" fontId="45" fillId="9" borderId="80" xfId="0" applyFont="1" applyFill="1" applyBorder="1" applyAlignment="1">
      <alignment horizontal="center" vertical="center"/>
    </xf>
    <xf numFmtId="0" fontId="45" fillId="9" borderId="60" xfId="0" applyFont="1" applyFill="1" applyBorder="1" applyAlignment="1">
      <alignment horizontal="center" vertical="center"/>
    </xf>
    <xf numFmtId="0" fontId="45" fillId="9" borderId="79" xfId="0" applyFont="1" applyFill="1" applyBorder="1" applyAlignment="1">
      <alignment horizontal="center" vertical="center" wrapText="1"/>
    </xf>
    <xf numFmtId="0" fontId="45" fillId="9" borderId="43" xfId="0" applyFont="1" applyFill="1" applyBorder="1" applyAlignment="1">
      <alignment horizontal="center" vertical="center" wrapText="1"/>
    </xf>
    <xf numFmtId="0" fontId="57" fillId="9" borderId="78"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34" fillId="16" borderId="0" xfId="0" applyFont="1" applyFill="1" applyBorder="1" applyAlignment="1">
      <alignment horizontal="center" vertical="center" textRotation="90"/>
    </xf>
    <xf numFmtId="170" fontId="34" fillId="4" borderId="2" xfId="0" applyNumberFormat="1" applyFont="1" applyFill="1" applyBorder="1" applyAlignment="1">
      <alignment horizontal="center" vertical="center"/>
    </xf>
    <xf numFmtId="170" fontId="34" fillId="4" borderId="77" xfId="0" applyNumberFormat="1" applyFont="1" applyFill="1" applyBorder="1" applyAlignment="1">
      <alignment horizontal="center" vertical="center"/>
    </xf>
    <xf numFmtId="0" fontId="34" fillId="4" borderId="27"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9" fontId="52" fillId="9" borderId="0" xfId="0" applyNumberFormat="1" applyFont="1" applyFill="1" applyBorder="1" applyAlignment="1">
      <alignment horizontal="left" vertical="center" indent="1"/>
    </xf>
    <xf numFmtId="0" fontId="52" fillId="9" borderId="73" xfId="0" applyFont="1" applyFill="1" applyBorder="1" applyAlignment="1">
      <alignment horizontal="center" vertical="center" wrapText="1"/>
    </xf>
    <xf numFmtId="0" fontId="61" fillId="9" borderId="73" xfId="0" applyFont="1" applyFill="1" applyBorder="1" applyAlignment="1">
      <alignment horizontal="center" vertical="center"/>
    </xf>
    <xf numFmtId="0" fontId="61" fillId="9" borderId="36" xfId="0" applyFont="1" applyFill="1" applyBorder="1" applyAlignment="1">
      <alignment horizontal="center" vertical="center"/>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170" fontId="34" fillId="4" borderId="93" xfId="0" applyNumberFormat="1" applyFont="1" applyFill="1" applyBorder="1" applyAlignment="1">
      <alignment horizontal="center" vertical="center"/>
    </xf>
    <xf numFmtId="170" fontId="34" fillId="4" borderId="47" xfId="0" applyNumberFormat="1" applyFont="1" applyFill="1" applyBorder="1" applyAlignment="1">
      <alignment horizontal="center" vertical="center"/>
    </xf>
    <xf numFmtId="170" fontId="34" fillId="4" borderId="11" xfId="0" applyNumberFormat="1" applyFont="1" applyFill="1" applyBorder="1" applyAlignment="1">
      <alignment horizontal="center" vertical="center"/>
    </xf>
    <xf numFmtId="0" fontId="45" fillId="9" borderId="109" xfId="0" applyFont="1" applyFill="1" applyBorder="1" applyAlignment="1">
      <alignment horizontal="center" vertical="center"/>
    </xf>
    <xf numFmtId="0" fontId="45" fillId="9" borderId="94" xfId="0" applyFont="1" applyFill="1" applyBorder="1" applyAlignment="1">
      <alignment horizontal="center" vertical="center"/>
    </xf>
    <xf numFmtId="0" fontId="45" fillId="9" borderId="110" xfId="0" applyFont="1" applyFill="1" applyBorder="1" applyAlignment="1">
      <alignment horizontal="center" vertical="center"/>
    </xf>
    <xf numFmtId="170" fontId="34" fillId="4" borderId="0" xfId="0" applyNumberFormat="1" applyFont="1" applyFill="1" applyBorder="1" applyAlignment="1">
      <alignment horizontal="center" vertical="center"/>
    </xf>
    <xf numFmtId="0" fontId="45" fillId="9" borderId="115" xfId="0" applyFont="1" applyFill="1" applyBorder="1" applyAlignment="1">
      <alignment horizontal="center" vertical="center" wrapText="1"/>
    </xf>
    <xf numFmtId="0" fontId="45" fillId="9" borderId="58" xfId="0" applyFont="1" applyFill="1" applyBorder="1" applyAlignment="1">
      <alignment horizontal="center" vertical="center" wrapText="1"/>
    </xf>
    <xf numFmtId="0" fontId="45" fillId="9" borderId="56" xfId="0" applyFont="1" applyFill="1" applyBorder="1" applyAlignment="1">
      <alignment horizontal="center" vertical="center" wrapText="1"/>
    </xf>
    <xf numFmtId="2" fontId="45" fillId="9" borderId="75" xfId="0" applyNumberFormat="1" applyFont="1" applyFill="1" applyBorder="1" applyAlignment="1">
      <alignment horizontal="center" vertical="center" wrapText="1"/>
    </xf>
    <xf numFmtId="2" fontId="45" fillId="9" borderId="60" xfId="0" applyNumberFormat="1" applyFont="1" applyFill="1" applyBorder="1" applyAlignment="1">
      <alignment horizontal="center" vertical="center" wrapText="1"/>
    </xf>
    <xf numFmtId="2" fontId="45" fillId="9" borderId="76" xfId="0" applyNumberFormat="1" applyFont="1" applyFill="1" applyBorder="1" applyAlignment="1">
      <alignment horizontal="center" vertical="center" wrapText="1"/>
    </xf>
    <xf numFmtId="170" fontId="34" fillId="4" borderId="56" xfId="0" applyNumberFormat="1" applyFont="1" applyFill="1" applyBorder="1" applyAlignment="1">
      <alignment horizontal="center" vertical="center"/>
    </xf>
    <xf numFmtId="170" fontId="34" fillId="4" borderId="29" xfId="0" applyNumberFormat="1" applyFont="1" applyFill="1" applyBorder="1" applyAlignment="1">
      <alignment horizontal="center" vertical="center"/>
    </xf>
    <xf numFmtId="170" fontId="34" fillId="4" borderId="111" xfId="0" applyNumberFormat="1" applyFont="1" applyFill="1" applyBorder="1" applyAlignment="1">
      <alignment horizontal="center" vertical="center"/>
    </xf>
    <xf numFmtId="0" fontId="45" fillId="9" borderId="55" xfId="0" applyFont="1" applyFill="1" applyBorder="1" applyAlignment="1">
      <alignment horizontal="center" vertical="center"/>
    </xf>
    <xf numFmtId="0" fontId="45" fillId="9" borderId="59" xfId="0" applyFont="1" applyFill="1" applyBorder="1" applyAlignment="1">
      <alignment horizontal="center" vertical="center" wrapText="1"/>
    </xf>
    <xf numFmtId="170" fontId="34" fillId="4" borderId="113" xfId="0" applyNumberFormat="1" applyFont="1" applyFill="1" applyBorder="1" applyAlignment="1">
      <alignment horizontal="center" vertical="center"/>
    </xf>
    <xf numFmtId="170" fontId="34" fillId="4" borderId="112" xfId="0" applyNumberFormat="1" applyFont="1" applyFill="1" applyBorder="1" applyAlignment="1">
      <alignment horizontal="center" vertical="center"/>
    </xf>
    <xf numFmtId="170" fontId="34" fillId="4" borderId="114"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wrapText="1"/>
    </xf>
    <xf numFmtId="170" fontId="34" fillId="4" borderId="11" xfId="0" applyNumberFormat="1" applyFont="1" applyFill="1" applyBorder="1" applyAlignment="1">
      <alignment horizontal="center" vertical="center" wrapText="1"/>
    </xf>
    <xf numFmtId="170" fontId="34" fillId="4" borderId="6" xfId="0" applyNumberFormat="1" applyFont="1" applyFill="1" applyBorder="1" applyAlignment="1">
      <alignment horizontal="center" vertical="center" wrapText="1"/>
    </xf>
    <xf numFmtId="170" fontId="34" fillId="4" borderId="7" xfId="0" applyNumberFormat="1" applyFont="1" applyFill="1" applyBorder="1" applyAlignment="1">
      <alignment horizontal="center" vertical="center" wrapText="1"/>
    </xf>
    <xf numFmtId="170" fontId="34" fillId="4" borderId="17" xfId="0" applyNumberFormat="1" applyFont="1" applyFill="1" applyBorder="1" applyAlignment="1">
      <alignment horizontal="center" vertical="center" wrapText="1"/>
    </xf>
    <xf numFmtId="170" fontId="34" fillId="4" borderId="12" xfId="0" applyNumberFormat="1" applyFont="1" applyFill="1" applyBorder="1" applyAlignment="1">
      <alignment horizontal="center" vertical="center" wrapText="1"/>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9" fontId="52" fillId="9" borderId="0" xfId="0" applyNumberFormat="1" applyFont="1" applyFill="1" applyBorder="1" applyAlignment="1">
      <alignment horizontal="center" vertical="center"/>
    </xf>
    <xf numFmtId="9" fontId="52" fillId="9" borderId="36"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0" fontId="45" fillId="9" borderId="86" xfId="0" applyFont="1" applyFill="1" applyBorder="1" applyAlignment="1">
      <alignment horizontal="center" vertical="center" wrapText="1"/>
    </xf>
    <xf numFmtId="0" fontId="52" fillId="9" borderId="73" xfId="0" applyFont="1" applyFill="1" applyBorder="1" applyAlignment="1">
      <alignment horizontal="center" vertical="center"/>
    </xf>
    <xf numFmtId="0" fontId="30" fillId="25" borderId="125" xfId="0" applyFont="1" applyFill="1" applyBorder="1" applyAlignment="1">
      <alignment horizontal="center" vertical="center"/>
    </xf>
    <xf numFmtId="0" fontId="30" fillId="25" borderId="122" xfId="0" applyFont="1" applyFill="1" applyBorder="1" applyAlignment="1">
      <alignment horizontal="center" vertical="center"/>
    </xf>
    <xf numFmtId="172" fontId="19" fillId="25" borderId="124" xfId="0" applyNumberFormat="1" applyFont="1" applyFill="1" applyBorder="1" applyAlignment="1">
      <alignment horizontal="center" vertical="center"/>
    </xf>
    <xf numFmtId="172" fontId="19" fillId="25" borderId="118" xfId="0" applyNumberFormat="1" applyFont="1" applyFill="1" applyBorder="1" applyAlignment="1">
      <alignment horizontal="center" vertical="center"/>
    </xf>
    <xf numFmtId="172" fontId="19" fillId="25" borderId="119" xfId="0" applyNumberFormat="1" applyFont="1" applyFill="1" applyBorder="1" applyAlignment="1">
      <alignment horizontal="center" vertical="center"/>
    </xf>
    <xf numFmtId="172" fontId="80" fillId="4" borderId="125" xfId="0" applyNumberFormat="1" applyFont="1" applyFill="1" applyBorder="1" applyAlignment="1">
      <alignment horizontal="center" vertical="center"/>
    </xf>
    <xf numFmtId="172" fontId="80" fillId="4" borderId="122" xfId="0" applyNumberFormat="1" applyFont="1" applyFill="1" applyBorder="1" applyAlignment="1">
      <alignment horizontal="center" vertical="center"/>
    </xf>
    <xf numFmtId="172" fontId="80" fillId="4" borderId="123" xfId="0" applyNumberFormat="1" applyFont="1" applyFill="1" applyBorder="1" applyAlignment="1">
      <alignment horizontal="center" vertical="center"/>
    </xf>
    <xf numFmtId="0" fontId="45" fillId="15" borderId="73"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36" xfId="0" applyFont="1" applyFill="1" applyBorder="1" applyAlignment="1">
      <alignment horizontal="center" vertical="center" wrapText="1"/>
    </xf>
    <xf numFmtId="0" fontId="30" fillId="25" borderId="123" xfId="0" applyFont="1" applyFill="1" applyBorder="1" applyAlignment="1">
      <alignment horizontal="center" vertical="center"/>
    </xf>
    <xf numFmtId="172" fontId="80" fillId="25" borderId="20" xfId="0" applyNumberFormat="1" applyFont="1" applyFill="1" applyBorder="1" applyAlignment="1">
      <alignment horizontal="center" vertical="center"/>
    </xf>
    <xf numFmtId="172" fontId="80" fillId="25" borderId="16" xfId="0" applyNumberFormat="1" applyFont="1" applyFill="1" applyBorder="1" applyAlignment="1">
      <alignment horizontal="center" vertical="center"/>
    </xf>
    <xf numFmtId="172" fontId="80" fillId="25" borderId="10" xfId="0" applyNumberFormat="1" applyFont="1" applyFill="1" applyBorder="1" applyAlignment="1">
      <alignment horizontal="center" vertical="center"/>
    </xf>
    <xf numFmtId="170" fontId="19" fillId="25" borderId="27" xfId="31" applyNumberFormat="1" applyFont="1" applyFill="1" applyBorder="1" applyAlignment="1">
      <alignment horizontal="center" vertical="center"/>
    </xf>
    <xf numFmtId="170" fontId="19" fillId="25" borderId="23" xfId="31" applyNumberFormat="1" applyFont="1" applyFill="1" applyBorder="1" applyAlignment="1">
      <alignment horizontal="center" vertical="center"/>
    </xf>
    <xf numFmtId="172" fontId="80" fillId="25" borderId="117" xfId="0" applyNumberFormat="1" applyFont="1" applyFill="1" applyBorder="1" applyAlignment="1">
      <alignment horizontal="center" vertical="center"/>
    </xf>
    <xf numFmtId="172" fontId="80" fillId="25" borderId="118" xfId="0" applyNumberFormat="1" applyFont="1" applyFill="1" applyBorder="1" applyAlignment="1">
      <alignment horizontal="center" vertical="center"/>
    </xf>
    <xf numFmtId="172" fontId="80" fillId="25" borderId="119" xfId="0" applyNumberFormat="1" applyFont="1" applyFill="1" applyBorder="1" applyAlignment="1">
      <alignment horizontal="center" vertical="center"/>
    </xf>
    <xf numFmtId="172" fontId="80" fillId="25" borderId="121" xfId="0" applyNumberFormat="1" applyFont="1" applyFill="1" applyBorder="1" applyAlignment="1">
      <alignment horizontal="center" vertical="center"/>
    </xf>
    <xf numFmtId="172" fontId="80" fillId="25" borderId="122" xfId="0" applyNumberFormat="1" applyFont="1" applyFill="1" applyBorder="1" applyAlignment="1">
      <alignment horizontal="center" vertical="center"/>
    </xf>
    <xf numFmtId="172" fontId="80" fillId="25" borderId="123" xfId="0" applyNumberFormat="1" applyFont="1" applyFill="1" applyBorder="1" applyAlignment="1">
      <alignment horizontal="center" vertical="center"/>
    </xf>
    <xf numFmtId="172" fontId="80" fillId="25" borderId="124" xfId="0" applyNumberFormat="1" applyFont="1" applyFill="1" applyBorder="1" applyAlignment="1">
      <alignment horizontal="center" vertical="center"/>
    </xf>
    <xf numFmtId="172" fontId="80" fillId="25" borderId="125" xfId="0" applyNumberFormat="1" applyFont="1" applyFill="1" applyBorder="1" applyAlignment="1">
      <alignment horizontal="center" vertical="center"/>
    </xf>
    <xf numFmtId="0" fontId="34" fillId="16" borderId="104" xfId="0" applyFont="1" applyFill="1" applyBorder="1" applyAlignment="1">
      <alignment horizontal="center" vertical="center" textRotation="90"/>
    </xf>
    <xf numFmtId="0" fontId="45" fillId="15" borderId="2" xfId="0" applyFont="1" applyFill="1" applyBorder="1" applyAlignment="1">
      <alignment horizontal="left" vertical="center" indent="1"/>
    </xf>
    <xf numFmtId="0" fontId="45" fillId="15" borderId="82" xfId="0" applyFont="1" applyFill="1" applyBorder="1" applyAlignment="1">
      <alignment horizontal="left" vertical="center" indent="1"/>
    </xf>
    <xf numFmtId="0" fontId="45" fillId="15" borderId="116" xfId="0" applyFont="1" applyFill="1" applyBorder="1" applyAlignment="1">
      <alignment horizontal="center" vertical="center" wrapText="1"/>
    </xf>
    <xf numFmtId="0" fontId="45" fillId="15" borderId="83" xfId="0" applyFont="1" applyFill="1" applyBorder="1" applyAlignment="1">
      <alignment horizontal="center" vertical="center" wrapText="1"/>
    </xf>
    <xf numFmtId="0" fontId="45" fillId="15" borderId="84" xfId="0" applyFont="1" applyFill="1" applyBorder="1" applyAlignment="1">
      <alignment horizontal="center" vertical="center"/>
    </xf>
    <xf numFmtId="0" fontId="45" fillId="15" borderId="85" xfId="0" applyFont="1" applyFill="1" applyBorder="1" applyAlignment="1">
      <alignment horizontal="center" vertical="center"/>
    </xf>
    <xf numFmtId="0" fontId="45" fillId="15" borderId="0" xfId="0" applyFont="1" applyFill="1" applyBorder="1" applyAlignment="1">
      <alignment horizontal="left" vertical="center" indent="1"/>
    </xf>
    <xf numFmtId="0" fontId="45" fillId="15" borderId="36" xfId="0" applyFont="1" applyFill="1" applyBorder="1" applyAlignment="1">
      <alignment horizontal="center" vertical="center"/>
    </xf>
    <xf numFmtId="172" fontId="80" fillId="4" borderId="124" xfId="0" applyNumberFormat="1" applyFont="1" applyFill="1" applyBorder="1" applyAlignment="1">
      <alignment horizontal="center" vertical="center"/>
    </xf>
    <xf numFmtId="172" fontId="80" fillId="4" borderId="118" xfId="0" applyNumberFormat="1" applyFont="1" applyFill="1" applyBorder="1" applyAlignment="1">
      <alignment horizontal="center" vertical="center"/>
    </xf>
    <xf numFmtId="172" fontId="80" fillId="4" borderId="119" xfId="0" applyNumberFormat="1" applyFont="1" applyFill="1" applyBorder="1" applyAlignment="1">
      <alignment horizontal="center" vertical="center"/>
    </xf>
    <xf numFmtId="172" fontId="80" fillId="4" borderId="128" xfId="0" applyNumberFormat="1" applyFont="1" applyFill="1" applyBorder="1" applyAlignment="1">
      <alignment horizontal="center" vertical="center"/>
    </xf>
    <xf numFmtId="172" fontId="80" fillId="4" borderId="129" xfId="0" applyNumberFormat="1" applyFont="1" applyFill="1" applyBorder="1" applyAlignment="1">
      <alignment horizontal="center" vertical="center"/>
    </xf>
    <xf numFmtId="172" fontId="80" fillId="4" borderId="120" xfId="0" applyNumberFormat="1" applyFont="1" applyFill="1" applyBorder="1" applyAlignment="1">
      <alignment horizontal="center" vertical="center"/>
    </xf>
    <xf numFmtId="170" fontId="34" fillId="4" borderId="20" xfId="0" applyNumberFormat="1" applyFont="1" applyFill="1" applyBorder="1" applyAlignment="1">
      <alignment horizontal="center" vertical="center"/>
    </xf>
    <xf numFmtId="0" fontId="45" fillId="9" borderId="0" xfId="0" applyFont="1" applyFill="1" applyBorder="1" applyAlignment="1">
      <alignment horizontal="center"/>
    </xf>
    <xf numFmtId="0" fontId="45" fillId="9" borderId="36" xfId="0" applyFont="1" applyFill="1" applyBorder="1" applyAlignment="1">
      <alignment horizontal="center"/>
    </xf>
    <xf numFmtId="0" fontId="19" fillId="4" borderId="22" xfId="0" applyFont="1" applyFill="1" applyBorder="1" applyAlignment="1">
      <alignment horizontal="left" vertical="center" indent="1"/>
    </xf>
    <xf numFmtId="0" fontId="19" fillId="4" borderId="31"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28" xfId="0" applyFont="1" applyFill="1" applyBorder="1" applyAlignment="1">
      <alignment horizontal="left" vertical="center" indent="1"/>
    </xf>
    <xf numFmtId="0" fontId="19" fillId="4" borderId="30" xfId="0" applyFont="1" applyFill="1" applyBorder="1" applyAlignment="1">
      <alignment horizontal="left" vertical="center" wrapText="1" indent="1"/>
    </xf>
    <xf numFmtId="0" fontId="19" fillId="4" borderId="23" xfId="0" applyFont="1" applyFill="1" applyBorder="1" applyAlignment="1">
      <alignment horizontal="left" vertical="center" wrapText="1" indent="1"/>
    </xf>
    <xf numFmtId="0" fontId="34" fillId="4" borderId="34" xfId="0" applyFont="1" applyFill="1" applyBorder="1" applyAlignment="1">
      <alignment horizontal="left" vertical="center" indent="1"/>
    </xf>
    <xf numFmtId="0" fontId="19" fillId="4" borderId="13" xfId="0" applyFont="1" applyFill="1" applyBorder="1" applyAlignment="1">
      <alignment horizontal="left" vertical="center" indent="1"/>
    </xf>
    <xf numFmtId="0" fontId="47" fillId="4" borderId="0" xfId="0" applyFont="1" applyFill="1" applyBorder="1" applyAlignment="1">
      <alignment horizontal="left" vertical="center" wrapText="1"/>
    </xf>
    <xf numFmtId="0" fontId="34" fillId="16" borderId="1" xfId="0" applyFont="1" applyFill="1" applyBorder="1" applyAlignment="1">
      <alignment horizontal="center" vertical="center" textRotation="90"/>
    </xf>
    <xf numFmtId="0" fontId="34" fillId="16" borderId="89" xfId="0" applyFont="1" applyFill="1" applyBorder="1" applyAlignment="1">
      <alignment horizontal="center" vertical="center" textRotation="90"/>
    </xf>
    <xf numFmtId="170" fontId="80" fillId="4" borderId="17" xfId="0" applyNumberFormat="1" applyFont="1" applyFill="1" applyBorder="1" applyAlignment="1">
      <alignment horizontal="center" vertical="center"/>
    </xf>
    <xf numFmtId="170" fontId="80" fillId="4" borderId="12"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170" fontId="19" fillId="4" borderId="13" xfId="0" applyNumberFormat="1" applyFont="1" applyFill="1" applyBorder="1" applyAlignment="1">
      <alignment horizontal="center" vertical="center"/>
    </xf>
    <xf numFmtId="0" fontId="45" fillId="9" borderId="49" xfId="0" applyFont="1" applyFill="1" applyBorder="1" applyAlignment="1">
      <alignment horizontal="center" vertical="center"/>
    </xf>
    <xf numFmtId="0" fontId="45" fillId="9" borderId="73" xfId="0" applyFont="1" applyFill="1" applyBorder="1" applyAlignment="1">
      <alignment horizontal="left" vertical="center" indent="1"/>
    </xf>
    <xf numFmtId="0" fontId="45" fillId="9" borderId="53" xfId="0" applyFont="1" applyFill="1" applyBorder="1" applyAlignment="1">
      <alignment horizontal="left" vertical="center" indent="1"/>
    </xf>
    <xf numFmtId="0" fontId="80" fillId="4" borderId="18" xfId="0" applyFont="1" applyFill="1" applyBorder="1" applyAlignment="1">
      <alignment horizontal="center" vertical="center"/>
    </xf>
    <xf numFmtId="0" fontId="80" fillId="4" borderId="11" xfId="0"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0"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29" xfId="0" applyNumberFormat="1" applyFont="1" applyFill="1" applyBorder="1" applyAlignment="1">
      <alignment horizontal="center" vertical="center"/>
    </xf>
    <xf numFmtId="170" fontId="80" fillId="4" borderId="22" xfId="0" applyNumberFormat="1" applyFont="1" applyFill="1" applyBorder="1" applyAlignment="1">
      <alignment horizontal="center" vertical="center"/>
    </xf>
    <xf numFmtId="170" fontId="80" fillId="4" borderId="31"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6" xfId="0" applyNumberFormat="1" applyFont="1" applyFill="1" applyBorder="1" applyAlignment="1">
      <alignment horizontal="center" vertical="center"/>
    </xf>
    <xf numFmtId="171" fontId="19" fillId="4" borderId="3" xfId="0" applyNumberFormat="1" applyFont="1" applyFill="1" applyBorder="1" applyAlignment="1">
      <alignment horizontal="center" vertical="center"/>
    </xf>
    <xf numFmtId="171" fontId="19" fillId="4" borderId="1" xfId="0" applyNumberFormat="1" applyFont="1" applyFill="1" applyBorder="1" applyAlignment="1">
      <alignment horizontal="center" vertical="center"/>
    </xf>
    <xf numFmtId="171" fontId="19" fillId="4" borderId="17" xfId="0" applyNumberFormat="1" applyFont="1" applyFill="1" applyBorder="1" applyAlignment="1">
      <alignment horizontal="center" vertical="center"/>
    </xf>
    <xf numFmtId="171" fontId="19" fillId="4" borderId="12" xfId="0" applyNumberFormat="1" applyFont="1" applyFill="1" applyBorder="1" applyAlignment="1">
      <alignment horizontal="center" vertical="center"/>
    </xf>
    <xf numFmtId="171" fontId="80" fillId="4" borderId="22" xfId="0" applyNumberFormat="1" applyFont="1" applyFill="1" applyBorder="1" applyAlignment="1">
      <alignment horizontal="center" vertical="center"/>
    </xf>
    <xf numFmtId="171" fontId="80" fillId="4" borderId="13" xfId="0" applyNumberFormat="1" applyFont="1" applyFill="1" applyBorder="1" applyAlignment="1">
      <alignment horizontal="center" vertical="center"/>
    </xf>
    <xf numFmtId="0" fontId="19" fillId="0" borderId="34" xfId="0" applyFont="1" applyBorder="1" applyAlignment="1">
      <alignment horizontal="left" vertical="center" wrapText="1" indent="1"/>
    </xf>
    <xf numFmtId="0" fontId="19" fillId="0" borderId="35" xfId="0" applyFont="1" applyBorder="1" applyAlignment="1">
      <alignment horizontal="left" vertical="center" wrapText="1" indent="1"/>
    </xf>
    <xf numFmtId="0" fontId="19" fillId="0" borderId="87" xfId="0" applyFont="1" applyBorder="1" applyAlignment="1">
      <alignment horizontal="left" vertical="center" indent="1"/>
    </xf>
    <xf numFmtId="0" fontId="19" fillId="0" borderId="88" xfId="0" applyFont="1" applyBorder="1" applyAlignment="1">
      <alignment horizontal="left" vertical="center" indent="1"/>
    </xf>
    <xf numFmtId="0" fontId="19" fillId="0" borderId="30" xfId="0" applyFont="1" applyBorder="1" applyAlignment="1">
      <alignment horizontal="left" vertical="center" wrapText="1" indent="1"/>
    </xf>
    <xf numFmtId="0" fontId="19" fillId="0" borderId="23" xfId="0" applyFont="1" applyBorder="1" applyAlignment="1">
      <alignment horizontal="left" vertical="center" wrapText="1" indent="1"/>
    </xf>
    <xf numFmtId="0" fontId="55" fillId="9" borderId="0" xfId="0" applyFont="1" applyFill="1" applyBorder="1" applyAlignment="1">
      <alignment horizontal="center" vertical="center"/>
    </xf>
    <xf numFmtId="0" fontId="55" fillId="9" borderId="36" xfId="0" applyFont="1" applyFill="1" applyBorder="1" applyAlignment="1">
      <alignment horizontal="center" vertical="center"/>
    </xf>
    <xf numFmtId="0" fontId="34" fillId="4" borderId="9" xfId="0" applyFont="1" applyFill="1" applyBorder="1" applyAlignment="1">
      <alignment horizontal="left" vertical="center" indent="1"/>
    </xf>
    <xf numFmtId="0" fontId="34" fillId="4" borderId="4" xfId="0" applyFont="1" applyFill="1" applyBorder="1" applyAlignment="1">
      <alignment horizontal="left" vertical="center" indent="1"/>
    </xf>
    <xf numFmtId="0" fontId="34" fillId="4" borderId="8" xfId="0" applyFont="1" applyFill="1" applyBorder="1" applyAlignment="1">
      <alignment horizontal="left" vertical="center" indent="1"/>
    </xf>
    <xf numFmtId="0" fontId="34" fillId="4" borderId="16" xfId="0" applyFont="1" applyFill="1" applyBorder="1" applyAlignment="1">
      <alignment horizontal="left" vertical="center" indent="1"/>
    </xf>
    <xf numFmtId="0" fontId="2" fillId="4" borderId="0" xfId="0" applyNumberFormat="1" applyFont="1" applyFill="1" applyBorder="1" applyAlignment="1">
      <alignment horizontal="left" vertical="center" wrapText="1"/>
    </xf>
    <xf numFmtId="0" fontId="19" fillId="3" borderId="0" xfId="0" applyNumberFormat="1" applyFont="1" applyFill="1" applyAlignment="1">
      <alignment horizontal="left" vertical="center" wrapText="1"/>
    </xf>
    <xf numFmtId="0" fontId="34" fillId="4" borderId="0" xfId="0" applyFont="1" applyFill="1" applyAlignment="1"/>
    <xf numFmtId="0" fontId="55" fillId="9" borderId="37" xfId="0" applyFont="1" applyFill="1" applyBorder="1" applyAlignment="1">
      <alignment horizontal="center" vertical="center" wrapText="1"/>
    </xf>
    <xf numFmtId="0" fontId="55" fillId="9" borderId="49" xfId="0" applyFont="1" applyFill="1" applyBorder="1" applyAlignment="1">
      <alignment horizontal="center" vertical="center" wrapTex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49" fontId="19" fillId="0" borderId="106"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30" xfId="0" applyFont="1" applyBorder="1" applyAlignment="1">
      <alignment horizontal="left" vertical="top" wrapText="1" indent="1"/>
    </xf>
    <xf numFmtId="0" fontId="19" fillId="0" borderId="23" xfId="0" applyFont="1" applyBorder="1" applyAlignment="1">
      <alignment horizontal="left" vertical="top" wrapText="1" indent="1"/>
    </xf>
    <xf numFmtId="0" fontId="19" fillId="0" borderId="30" xfId="0" applyFont="1" applyBorder="1" applyAlignment="1">
      <alignment horizontal="left" vertical="center" indent="1"/>
    </xf>
    <xf numFmtId="0" fontId="19" fillId="0" borderId="23" xfId="0" applyFont="1" applyBorder="1" applyAlignment="1">
      <alignment horizontal="left" vertical="center" indent="1"/>
    </xf>
    <xf numFmtId="0" fontId="19" fillId="0" borderId="87" xfId="0" applyFont="1" applyBorder="1" applyAlignment="1">
      <alignment horizontal="left" vertical="top" wrapText="1" indent="1"/>
    </xf>
    <xf numFmtId="0" fontId="19" fillId="0" borderId="88" xfId="0" applyFont="1" applyBorder="1" applyAlignment="1">
      <alignment horizontal="left" vertical="top" wrapText="1" indent="1"/>
    </xf>
    <xf numFmtId="0" fontId="3" fillId="4" borderId="0" xfId="0" applyNumberFormat="1" applyFont="1" applyFill="1" applyBorder="1" applyAlignment="1">
      <alignment horizontal="left" vertical="center" wrapText="1"/>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xfId="35" builtinId="4"/>
    <cellStyle name="Walutowy 2" xfId="36" xr:uid="{00000000-0005-0000-0000-000024000000}"/>
    <cellStyle name="Walutowy 2 2" xfId="37" xr:uid="{00000000-0005-0000-0000-000025000000}"/>
    <cellStyle name="Walutowy 3" xfId="38" xr:uid="{00000000-0005-0000-0000-000026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35AD8"/>
      <color rgb="FF3C31CD"/>
      <color rgb="FF2A2593"/>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a16="http://schemas.microsoft.com/office/drawing/2014/main"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a16="http://schemas.microsoft.com/office/drawing/2014/main"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30</xdr:row>
      <xdr:rowOff>142875</xdr:rowOff>
    </xdr:from>
    <xdr:to>
      <xdr:col>2</xdr:col>
      <xdr:colOff>104775</xdr:colOff>
      <xdr:row>33</xdr:row>
      <xdr:rowOff>104775</xdr:rowOff>
    </xdr:to>
    <xdr:pic>
      <xdr:nvPicPr>
        <xdr:cNvPr id="1083540" name="Obraz 14" descr="1.png">
          <a:extLst>
            <a:ext uri="{FF2B5EF4-FFF2-40B4-BE49-F238E27FC236}">
              <a16:creationId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56</xdr:row>
      <xdr:rowOff>9525</xdr:rowOff>
    </xdr:from>
    <xdr:to>
      <xdr:col>2</xdr:col>
      <xdr:colOff>885825</xdr:colOff>
      <xdr:row>58</xdr:row>
      <xdr:rowOff>85725</xdr:rowOff>
    </xdr:to>
    <xdr:pic>
      <xdr:nvPicPr>
        <xdr:cNvPr id="1083541" name="Picture 2" descr="image003">
          <a:extLst>
            <a:ext uri="{FF2B5EF4-FFF2-40B4-BE49-F238E27FC236}">
              <a16:creationId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a16="http://schemas.microsoft.com/office/drawing/2014/main"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94</xdr:row>
      <xdr:rowOff>0</xdr:rowOff>
    </xdr:from>
    <xdr:to>
      <xdr:col>2</xdr:col>
      <xdr:colOff>104775</xdr:colOff>
      <xdr:row>94</xdr:row>
      <xdr:rowOff>304800</xdr:rowOff>
    </xdr:to>
    <xdr:pic>
      <xdr:nvPicPr>
        <xdr:cNvPr id="1083543" name="Obraz 15" descr="http://a.wpimg.pl/a/i/stg/550/wpw.png">
          <a:extLst>
            <a:ext uri="{FF2B5EF4-FFF2-40B4-BE49-F238E27FC236}">
              <a16:creationId xmlns:a16="http://schemas.microsoft.com/office/drawing/2014/main"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65</xdr:row>
      <xdr:rowOff>66675</xdr:rowOff>
    </xdr:from>
    <xdr:to>
      <xdr:col>2</xdr:col>
      <xdr:colOff>676275</xdr:colOff>
      <xdr:row>67</xdr:row>
      <xdr:rowOff>66675</xdr:rowOff>
    </xdr:to>
    <xdr:pic>
      <xdr:nvPicPr>
        <xdr:cNvPr id="1083544" name="Obraz 2">
          <a:extLst>
            <a:ext uri="{FF2B5EF4-FFF2-40B4-BE49-F238E27FC236}">
              <a16:creationId xmlns:a16="http://schemas.microsoft.com/office/drawing/2014/main"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75</xdr:row>
      <xdr:rowOff>76200</xdr:rowOff>
    </xdr:from>
    <xdr:to>
      <xdr:col>3</xdr:col>
      <xdr:colOff>200025</xdr:colOff>
      <xdr:row>77</xdr:row>
      <xdr:rowOff>85725</xdr:rowOff>
    </xdr:to>
    <xdr:pic>
      <xdr:nvPicPr>
        <xdr:cNvPr id="1083545" name="Obraz 2">
          <a:extLst>
            <a:ext uri="{FF2B5EF4-FFF2-40B4-BE49-F238E27FC236}">
              <a16:creationId xmlns:a16="http://schemas.microsoft.com/office/drawing/2014/main"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85</xdr:row>
      <xdr:rowOff>76200</xdr:rowOff>
    </xdr:from>
    <xdr:to>
      <xdr:col>3</xdr:col>
      <xdr:colOff>257175</xdr:colOff>
      <xdr:row>87</xdr:row>
      <xdr:rowOff>85725</xdr:rowOff>
    </xdr:to>
    <xdr:pic>
      <xdr:nvPicPr>
        <xdr:cNvPr id="1083549" name="Obraz 1">
          <a:extLst>
            <a:ext uri="{FF2B5EF4-FFF2-40B4-BE49-F238E27FC236}">
              <a16:creationId xmlns:a16="http://schemas.microsoft.com/office/drawing/2014/main" id="{00000000-0008-0000-0100-00009D881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50</xdr:row>
      <xdr:rowOff>76201</xdr:rowOff>
    </xdr:from>
    <xdr:to>
      <xdr:col>2</xdr:col>
      <xdr:colOff>990600</xdr:colOff>
      <xdr:row>52</xdr:row>
      <xdr:rowOff>70169</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1037866</xdr:colOff>
      <xdr:row>5</xdr:row>
      <xdr:rowOff>58486</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31" customWidth="1"/>
    <col min="2" max="2" width="8.85546875" style="131" customWidth="1"/>
    <col min="3" max="4" width="30.85546875" style="131" customWidth="1"/>
    <col min="5" max="8" width="20" style="131" customWidth="1"/>
    <col min="9" max="9" width="17.85546875" style="131" customWidth="1"/>
    <col min="10" max="10" width="8.85546875" style="131" customWidth="1"/>
    <col min="11" max="11" width="38.42578125" style="131" customWidth="1"/>
    <col min="12" max="13" width="9.140625" style="131" customWidth="1"/>
    <col min="14" max="15" width="11.42578125" style="131" customWidth="1"/>
    <col min="16" max="16" width="9.140625" style="131" customWidth="1"/>
    <col min="17" max="16384" width="11.42578125" style="131"/>
  </cols>
  <sheetData>
    <row r="1" spans="1:26" ht="12.75" customHeight="1">
      <c r="A1" s="272"/>
      <c r="B1" s="272"/>
      <c r="C1" s="272"/>
      <c r="D1" s="272"/>
      <c r="E1" s="697" t="str">
        <f>IF($B$30="Polski",CONCATENATE("Cennik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697"/>
      <c r="G1" s="697"/>
      <c r="H1" s="697"/>
      <c r="I1" s="18"/>
      <c r="J1" s="272"/>
      <c r="K1" s="697"/>
      <c r="L1" s="697"/>
      <c r="M1" s="697"/>
      <c r="N1" s="697"/>
      <c r="O1" s="697"/>
      <c r="P1" s="697"/>
      <c r="Q1" s="272"/>
      <c r="R1" s="272"/>
      <c r="S1" s="272"/>
      <c r="T1" s="272"/>
      <c r="U1" s="272"/>
      <c r="V1" s="272"/>
      <c r="W1" s="272"/>
      <c r="X1" s="272"/>
      <c r="Y1" s="272"/>
      <c r="Z1" s="272"/>
    </row>
    <row r="2" spans="1:26" ht="12.75" customHeight="1">
      <c r="A2" s="272"/>
      <c r="B2" s="272"/>
      <c r="C2" s="184"/>
      <c r="D2" s="18"/>
      <c r="E2" s="697"/>
      <c r="F2" s="697"/>
      <c r="G2" s="697"/>
      <c r="H2" s="697"/>
      <c r="I2" s="18"/>
      <c r="J2" s="274"/>
      <c r="K2" s="697"/>
      <c r="L2" s="697"/>
      <c r="M2" s="697"/>
      <c r="N2" s="697"/>
      <c r="O2" s="697"/>
      <c r="P2" s="697"/>
      <c r="Q2" s="272"/>
      <c r="R2" s="272"/>
      <c r="S2" s="272"/>
      <c r="T2" s="272"/>
      <c r="U2" s="272"/>
      <c r="V2" s="272"/>
      <c r="W2" s="272"/>
      <c r="X2" s="272"/>
      <c r="Y2" s="272"/>
      <c r="Z2" s="272"/>
    </row>
    <row r="3" spans="1:26">
      <c r="A3" s="272"/>
      <c r="B3" s="272"/>
      <c r="C3" s="272"/>
      <c r="D3" s="18"/>
      <c r="E3" s="697"/>
      <c r="F3" s="697"/>
      <c r="G3" s="697"/>
      <c r="H3" s="697"/>
      <c r="I3" s="18"/>
      <c r="J3" s="274"/>
      <c r="K3" s="697"/>
      <c r="L3" s="697"/>
      <c r="M3" s="697"/>
      <c r="N3" s="697"/>
      <c r="O3" s="697"/>
      <c r="P3" s="697"/>
      <c r="Q3" s="272"/>
      <c r="R3" s="272"/>
      <c r="S3" s="272"/>
      <c r="T3" s="272"/>
      <c r="U3" s="272"/>
      <c r="V3" s="272"/>
      <c r="W3" s="272"/>
      <c r="X3" s="272"/>
      <c r="Y3" s="272"/>
      <c r="Z3" s="272"/>
    </row>
    <row r="4" spans="1:26" s="34" customFormat="1" ht="12.75" customHeight="1">
      <c r="A4" s="275"/>
      <c r="B4" s="35" t="s">
        <v>0</v>
      </c>
      <c r="C4" s="275"/>
      <c r="D4" s="275"/>
      <c r="E4" s="275"/>
      <c r="F4" s="275"/>
      <c r="G4" s="275"/>
      <c r="H4" s="486" t="str">
        <f>IF('Język - Language'!$B$30="Polski","PL","EN")</f>
        <v>PL</v>
      </c>
      <c r="I4" s="275"/>
      <c r="J4" s="275"/>
      <c r="K4" s="275"/>
      <c r="L4" s="275"/>
      <c r="M4" s="275"/>
      <c r="N4" s="275"/>
      <c r="O4" s="275"/>
      <c r="P4" s="275"/>
      <c r="Q4" s="275"/>
      <c r="R4" s="275"/>
      <c r="S4" s="275"/>
      <c r="T4" s="275"/>
      <c r="U4" s="275"/>
      <c r="V4" s="275"/>
      <c r="W4" s="275"/>
      <c r="X4" s="275"/>
      <c r="Y4" s="275"/>
      <c r="Z4" s="275"/>
    </row>
    <row r="5" spans="1:26" s="113" customFormat="1" ht="12.75" customHeight="1">
      <c r="A5" s="270"/>
      <c r="B5" s="17"/>
      <c r="C5" s="270"/>
      <c r="D5" s="270"/>
      <c r="E5" s="270"/>
      <c r="F5" s="270"/>
      <c r="G5" s="270"/>
      <c r="H5" s="270"/>
      <c r="I5" s="270"/>
      <c r="J5" s="270"/>
      <c r="K5" s="270"/>
      <c r="L5" s="270"/>
      <c r="M5" s="270"/>
      <c r="N5" s="270"/>
      <c r="O5" s="270"/>
      <c r="P5" s="270"/>
      <c r="Q5" s="270"/>
      <c r="R5" s="270"/>
      <c r="S5" s="270"/>
      <c r="T5" s="270"/>
      <c r="U5" s="270"/>
      <c r="V5" s="270"/>
      <c r="W5" s="270"/>
      <c r="X5" s="270"/>
      <c r="Y5" s="270"/>
      <c r="Z5" s="270"/>
    </row>
    <row r="6" spans="1:26">
      <c r="A6" s="272"/>
      <c r="B6" s="270"/>
      <c r="C6" s="270"/>
      <c r="D6" s="270"/>
      <c r="E6" s="272"/>
      <c r="F6" s="272"/>
      <c r="G6" s="272"/>
      <c r="H6" s="272"/>
      <c r="I6" s="272"/>
      <c r="J6" s="270"/>
      <c r="K6" s="270"/>
      <c r="L6" s="270"/>
      <c r="M6" s="270"/>
      <c r="N6" s="270"/>
      <c r="O6" s="270"/>
      <c r="P6" s="270"/>
      <c r="Q6" s="272"/>
      <c r="R6" s="272"/>
      <c r="S6" s="272"/>
      <c r="T6" s="272"/>
      <c r="U6" s="272"/>
      <c r="V6" s="272"/>
      <c r="W6" s="272"/>
      <c r="X6" s="272"/>
      <c r="Y6" s="272"/>
      <c r="Z6" s="272"/>
    </row>
    <row r="7" spans="1:26" ht="36.200000000000003" customHeight="1">
      <c r="A7" s="270"/>
      <c r="B7" s="64"/>
      <c r="C7" s="127" t="s">
        <v>1</v>
      </c>
      <c r="D7" s="126" t="s">
        <v>2</v>
      </c>
      <c r="E7" s="96"/>
      <c r="F7" s="698"/>
      <c r="G7" s="698"/>
      <c r="H7" s="698"/>
      <c r="I7" s="698"/>
      <c r="J7" s="272"/>
      <c r="K7" s="700"/>
      <c r="L7" s="700"/>
      <c r="M7" s="700"/>
      <c r="N7" s="700"/>
      <c r="O7" s="700"/>
      <c r="P7" s="700"/>
      <c r="Q7" s="272"/>
      <c r="R7" s="272"/>
      <c r="S7" s="272"/>
      <c r="T7" s="272"/>
      <c r="U7" s="272"/>
      <c r="V7" s="272"/>
      <c r="W7" s="272"/>
      <c r="X7" s="272"/>
      <c r="Y7" s="272"/>
      <c r="Z7" s="142" t="s">
        <v>3</v>
      </c>
    </row>
    <row r="8" spans="1:26" ht="25.5" customHeight="1">
      <c r="A8" s="272"/>
      <c r="B8" s="128"/>
      <c r="C8" s="702" t="str">
        <f>INDEX(Z7:Z8,A30)</f>
        <v>Polski</v>
      </c>
      <c r="D8" s="702"/>
      <c r="E8" s="335"/>
      <c r="F8" s="699"/>
      <c r="G8" s="699"/>
      <c r="H8" s="699"/>
      <c r="I8" s="699"/>
      <c r="J8" s="270"/>
      <c r="K8" s="296"/>
      <c r="L8" s="703"/>
      <c r="M8" s="703"/>
      <c r="N8" s="703"/>
      <c r="O8" s="703"/>
      <c r="P8" s="703"/>
      <c r="Q8" s="272"/>
      <c r="R8" s="272"/>
      <c r="S8" s="272"/>
      <c r="T8" s="272"/>
      <c r="U8" s="272"/>
      <c r="V8" s="272"/>
      <c r="W8" s="272"/>
      <c r="X8" s="272"/>
      <c r="Y8" s="272"/>
      <c r="Z8" s="142" t="s">
        <v>4</v>
      </c>
    </row>
    <row r="9" spans="1:26" ht="25.35" customHeight="1">
      <c r="A9" s="272"/>
      <c r="B9" s="128"/>
      <c r="C9" s="704"/>
      <c r="D9" s="701"/>
      <c r="E9" s="295"/>
      <c r="F9" s="59"/>
      <c r="G9" s="60"/>
      <c r="H9" s="61"/>
      <c r="I9" s="61"/>
      <c r="J9" s="270"/>
      <c r="K9" s="81"/>
      <c r="L9" s="705"/>
      <c r="M9" s="705"/>
      <c r="N9" s="705"/>
      <c r="O9" s="705"/>
      <c r="P9" s="705"/>
      <c r="Q9" s="272"/>
      <c r="R9" s="272"/>
      <c r="S9" s="272"/>
      <c r="T9" s="272"/>
      <c r="U9" s="272"/>
      <c r="V9" s="272"/>
      <c r="W9" s="272"/>
      <c r="X9" s="272"/>
      <c r="Y9" s="272"/>
      <c r="Z9" s="272"/>
    </row>
    <row r="10" spans="1:26" ht="12.75" customHeight="1">
      <c r="A10" s="272"/>
      <c r="B10" s="128"/>
      <c r="C10" s="297"/>
      <c r="D10" s="295"/>
      <c r="E10" s="295"/>
      <c r="F10" s="59"/>
      <c r="G10" s="60"/>
      <c r="H10" s="61"/>
      <c r="I10" s="61"/>
      <c r="J10" s="270"/>
      <c r="K10" s="81"/>
      <c r="L10" s="298"/>
      <c r="M10" s="298"/>
      <c r="N10" s="298"/>
      <c r="O10" s="298"/>
      <c r="P10" s="298"/>
      <c r="Q10" s="272"/>
      <c r="R10" s="272"/>
      <c r="S10" s="272"/>
      <c r="T10" s="272"/>
      <c r="U10" s="272"/>
      <c r="V10" s="272"/>
      <c r="W10" s="272"/>
      <c r="X10" s="272"/>
      <c r="Y10" s="272"/>
      <c r="Z10" s="272"/>
    </row>
    <row r="11" spans="1:26">
      <c r="A11" s="272"/>
      <c r="B11" s="706"/>
      <c r="C11" s="707"/>
      <c r="D11" s="707"/>
      <c r="E11" s="707"/>
      <c r="F11" s="707"/>
      <c r="G11" s="707"/>
      <c r="H11" s="707"/>
      <c r="I11" s="61"/>
      <c r="J11" s="270"/>
      <c r="K11" s="81"/>
      <c r="L11" s="705"/>
      <c r="M11" s="705"/>
      <c r="N11" s="705"/>
      <c r="O11" s="705"/>
      <c r="P11" s="705"/>
      <c r="Q11" s="272"/>
      <c r="R11" s="272"/>
      <c r="S11" s="272"/>
      <c r="T11" s="272"/>
      <c r="U11" s="272"/>
      <c r="V11" s="272"/>
      <c r="W11" s="272"/>
      <c r="X11" s="272"/>
      <c r="Y11" s="272"/>
      <c r="Z11" s="272"/>
    </row>
    <row r="12" spans="1:26" ht="12.75" customHeight="1">
      <c r="A12" s="272"/>
      <c r="B12" s="707"/>
      <c r="C12" s="707"/>
      <c r="D12" s="707"/>
      <c r="E12" s="707"/>
      <c r="F12" s="707"/>
      <c r="G12" s="707"/>
      <c r="H12" s="707"/>
      <c r="I12" s="61"/>
      <c r="J12" s="270"/>
      <c r="K12" s="82"/>
      <c r="L12" s="708"/>
      <c r="M12" s="708"/>
      <c r="N12" s="708"/>
      <c r="O12" s="708"/>
      <c r="P12" s="708"/>
      <c r="Q12" s="272"/>
      <c r="R12" s="272"/>
      <c r="S12" s="272"/>
      <c r="T12" s="272"/>
      <c r="U12" s="272"/>
      <c r="V12" s="272"/>
      <c r="W12" s="272"/>
      <c r="X12" s="272"/>
      <c r="Y12" s="272"/>
      <c r="Z12" s="272"/>
    </row>
    <row r="13" spans="1:26" ht="12.75" customHeight="1">
      <c r="A13" s="272"/>
      <c r="B13" s="299"/>
      <c r="C13" s="299"/>
      <c r="D13" s="299"/>
      <c r="E13" s="299"/>
      <c r="F13" s="299"/>
      <c r="G13" s="299"/>
      <c r="H13" s="299"/>
      <c r="I13" s="61"/>
      <c r="J13" s="270"/>
      <c r="K13" s="82"/>
      <c r="L13" s="300"/>
      <c r="M13" s="300"/>
      <c r="N13" s="300"/>
      <c r="O13" s="300"/>
      <c r="P13" s="300"/>
      <c r="Q13" s="272"/>
      <c r="R13" s="272"/>
      <c r="S13" s="272"/>
      <c r="T13" s="272"/>
      <c r="U13" s="272"/>
      <c r="V13" s="272"/>
      <c r="W13" s="272"/>
      <c r="X13" s="272"/>
      <c r="Y13" s="272"/>
      <c r="Z13" s="272"/>
    </row>
    <row r="14" spans="1:26" ht="12.75" customHeight="1">
      <c r="A14" s="270"/>
      <c r="B14" s="185"/>
      <c r="C14" s="185"/>
      <c r="D14" s="185"/>
      <c r="E14" s="80"/>
      <c r="F14" s="41"/>
      <c r="G14" s="42"/>
      <c r="H14" s="43"/>
      <c r="I14" s="43"/>
      <c r="J14" s="270"/>
      <c r="K14" s="82"/>
      <c r="L14" s="300"/>
      <c r="M14" s="300"/>
      <c r="N14" s="300"/>
      <c r="O14" s="300"/>
      <c r="P14" s="300"/>
      <c r="Q14" s="272"/>
      <c r="R14" s="272"/>
      <c r="S14" s="272"/>
      <c r="T14" s="272"/>
      <c r="U14" s="272"/>
      <c r="V14" s="272"/>
      <c r="W14" s="272"/>
      <c r="X14" s="272"/>
      <c r="Y14" s="272"/>
      <c r="Z14" s="272"/>
    </row>
    <row r="15" spans="1:26">
      <c r="A15" s="270"/>
      <c r="B15" s="294"/>
      <c r="C15" s="294"/>
      <c r="D15" s="337"/>
      <c r="E15" s="294"/>
      <c r="F15" s="709"/>
      <c r="G15" s="294"/>
      <c r="H15" s="294"/>
      <c r="I15" s="40"/>
      <c r="J15" s="270"/>
      <c r="K15" s="81"/>
      <c r="L15" s="708"/>
      <c r="M15" s="708"/>
      <c r="N15" s="708"/>
      <c r="O15" s="708"/>
      <c r="P15" s="708"/>
      <c r="Q15" s="272"/>
      <c r="R15" s="272"/>
      <c r="S15" s="272"/>
      <c r="T15" s="272"/>
      <c r="U15" s="272"/>
      <c r="V15" s="272"/>
      <c r="W15" s="272"/>
      <c r="X15" s="272"/>
      <c r="Y15" s="272"/>
      <c r="Z15" s="272"/>
    </row>
    <row r="16" spans="1:26" ht="15">
      <c r="A16" s="270"/>
      <c r="B16" s="128"/>
      <c r="C16" s="132"/>
      <c r="D16" s="133"/>
      <c r="E16" s="134"/>
      <c r="F16" s="709"/>
      <c r="G16" s="135"/>
      <c r="H16" s="136"/>
      <c r="I16" s="136"/>
      <c r="J16" s="272"/>
      <c r="K16" s="83"/>
      <c r="L16" s="708"/>
      <c r="M16" s="708"/>
      <c r="N16" s="708"/>
      <c r="O16" s="708"/>
      <c r="P16" s="708"/>
      <c r="Q16" s="272"/>
      <c r="R16" s="272"/>
      <c r="S16" s="272"/>
      <c r="T16" s="272"/>
      <c r="U16" s="272"/>
      <c r="V16" s="272"/>
      <c r="W16" s="272"/>
      <c r="X16" s="272"/>
      <c r="Y16" s="272"/>
      <c r="Z16" s="272"/>
    </row>
    <row r="17" spans="1:16" ht="15">
      <c r="A17" s="270"/>
      <c r="B17" s="701"/>
      <c r="C17" s="701"/>
      <c r="D17" s="701"/>
      <c r="E17" s="701"/>
      <c r="F17" s="701"/>
      <c r="G17" s="701"/>
      <c r="H17" s="701"/>
      <c r="I17" s="137"/>
      <c r="J17" s="272"/>
      <c r="K17" s="296"/>
      <c r="L17" s="700"/>
      <c r="M17" s="700"/>
      <c r="N17" s="700"/>
      <c r="O17" s="700"/>
      <c r="P17" s="700"/>
    </row>
    <row r="18" spans="1:16">
      <c r="A18" s="272"/>
      <c r="B18" s="58"/>
      <c r="C18" s="58"/>
      <c r="D18" s="58"/>
      <c r="E18" s="58"/>
      <c r="F18" s="58"/>
      <c r="G18" s="58"/>
      <c r="H18" s="270"/>
      <c r="I18" s="270"/>
      <c r="J18" s="272"/>
      <c r="K18" s="270"/>
      <c r="L18" s="270"/>
      <c r="M18" s="270"/>
      <c r="N18" s="270"/>
      <c r="O18" s="270"/>
      <c r="P18" s="270"/>
    </row>
    <row r="19" spans="1:16" ht="25.5" customHeight="1">
      <c r="A19" s="272"/>
      <c r="B19" s="709"/>
      <c r="C19" s="294"/>
      <c r="D19" s="294"/>
      <c r="E19" s="294"/>
      <c r="F19" s="294"/>
      <c r="G19" s="294"/>
      <c r="H19" s="270"/>
      <c r="I19" s="270"/>
      <c r="J19" s="270"/>
      <c r="K19" s="130"/>
      <c r="L19" s="711"/>
      <c r="M19" s="711"/>
      <c r="N19" s="711"/>
      <c r="O19" s="711"/>
      <c r="P19" s="711"/>
    </row>
    <row r="20" spans="1:16" ht="25.5" customHeight="1">
      <c r="A20" s="272"/>
      <c r="B20" s="709"/>
      <c r="C20" s="138"/>
      <c r="D20" s="139"/>
      <c r="E20" s="138"/>
      <c r="F20" s="140"/>
      <c r="G20" s="141"/>
      <c r="H20" s="270"/>
      <c r="I20" s="270"/>
      <c r="J20" s="270"/>
      <c r="K20" s="128"/>
      <c r="L20" s="712"/>
      <c r="M20" s="712"/>
      <c r="N20" s="712"/>
      <c r="O20" s="712"/>
      <c r="P20" s="712"/>
    </row>
    <row r="21" spans="1:16" ht="25.5" customHeight="1">
      <c r="A21" s="272"/>
      <c r="B21" s="709"/>
      <c r="C21" s="138"/>
      <c r="D21" s="139"/>
      <c r="E21" s="138"/>
      <c r="F21" s="140"/>
      <c r="G21" s="141"/>
      <c r="H21" s="270"/>
      <c r="I21" s="270"/>
      <c r="J21" s="270"/>
      <c r="K21" s="128"/>
      <c r="L21" s="713"/>
      <c r="M21" s="713"/>
      <c r="N21" s="713"/>
      <c r="O21" s="713"/>
      <c r="P21" s="713"/>
    </row>
    <row r="22" spans="1:16" ht="25.5" customHeight="1">
      <c r="A22" s="272"/>
      <c r="B22" s="709"/>
      <c r="C22" s="138"/>
      <c r="D22" s="139"/>
      <c r="E22" s="138"/>
      <c r="F22" s="140"/>
      <c r="G22" s="141"/>
      <c r="H22" s="270"/>
      <c r="I22" s="270"/>
      <c r="J22" s="270"/>
      <c r="K22" s="128"/>
      <c r="L22" s="710"/>
      <c r="M22" s="710"/>
      <c r="N22" s="710"/>
      <c r="O22" s="710"/>
      <c r="P22" s="710"/>
    </row>
    <row r="23" spans="1:16" ht="25.5" customHeight="1">
      <c r="A23" s="272"/>
      <c r="B23" s="709"/>
      <c r="C23" s="138"/>
      <c r="D23" s="139"/>
      <c r="E23" s="138"/>
      <c r="F23" s="140"/>
      <c r="G23" s="141"/>
      <c r="H23" s="270"/>
      <c r="I23" s="270"/>
      <c r="J23" s="270"/>
      <c r="K23" s="128"/>
      <c r="L23" s="710"/>
      <c r="M23" s="710"/>
      <c r="N23" s="710"/>
      <c r="O23" s="710"/>
      <c r="P23" s="710"/>
    </row>
    <row r="24" spans="1:16" ht="25.5" customHeight="1">
      <c r="A24" s="272"/>
      <c r="B24" s="709"/>
      <c r="C24" s="138"/>
      <c r="D24" s="139"/>
      <c r="E24" s="138"/>
      <c r="F24" s="140"/>
      <c r="G24" s="141"/>
      <c r="H24" s="270"/>
      <c r="I24" s="270"/>
      <c r="J24" s="270"/>
      <c r="K24" s="128"/>
      <c r="L24" s="710"/>
      <c r="M24" s="710"/>
      <c r="N24" s="710"/>
      <c r="O24" s="710"/>
      <c r="P24" s="710"/>
    </row>
    <row r="25" spans="1:16" ht="25.5" customHeight="1">
      <c r="A25" s="272"/>
      <c r="B25" s="709"/>
      <c r="C25" s="138"/>
      <c r="D25" s="139"/>
      <c r="E25" s="138"/>
      <c r="F25" s="141"/>
      <c r="G25" s="141"/>
      <c r="H25" s="270"/>
      <c r="I25" s="270"/>
      <c r="J25" s="270"/>
      <c r="K25" s="128"/>
      <c r="L25" s="710"/>
      <c r="M25" s="710"/>
      <c r="N25" s="710"/>
      <c r="O25" s="710"/>
      <c r="P25" s="710"/>
    </row>
    <row r="26" spans="1:16" ht="25.5" customHeight="1">
      <c r="A26" s="272"/>
      <c r="B26" s="57"/>
      <c r="C26" s="270"/>
      <c r="D26" s="270"/>
      <c r="E26" s="270"/>
      <c r="F26" s="270"/>
      <c r="G26" s="270"/>
      <c r="H26" s="270"/>
      <c r="I26" s="270"/>
      <c r="J26" s="270"/>
      <c r="K26" s="128"/>
      <c r="L26" s="710"/>
      <c r="M26" s="710"/>
      <c r="N26" s="710"/>
      <c r="O26" s="710"/>
      <c r="P26" s="710"/>
    </row>
    <row r="27" spans="1:16" ht="25.5" customHeight="1">
      <c r="A27" s="272"/>
      <c r="B27" s="78"/>
      <c r="C27" s="39"/>
      <c r="D27" s="39"/>
      <c r="E27" s="39"/>
      <c r="F27" s="39"/>
      <c r="G27" s="39"/>
      <c r="H27" s="270"/>
      <c r="I27" s="270"/>
      <c r="J27" s="270"/>
      <c r="K27" s="128"/>
      <c r="L27" s="710"/>
      <c r="M27" s="710"/>
      <c r="N27" s="710"/>
      <c r="O27" s="710"/>
      <c r="P27" s="710"/>
    </row>
    <row r="28" spans="1:16" ht="25.5" customHeight="1">
      <c r="A28" s="272"/>
      <c r="B28" s="272"/>
      <c r="C28" s="272"/>
      <c r="D28" s="272"/>
      <c r="E28" s="272"/>
      <c r="F28" s="272"/>
      <c r="G28" s="272"/>
      <c r="H28" s="272"/>
      <c r="I28" s="272"/>
      <c r="J28" s="270"/>
      <c r="K28" s="129"/>
      <c r="L28" s="710"/>
      <c r="M28" s="710"/>
      <c r="N28" s="710"/>
      <c r="O28" s="710"/>
      <c r="P28" s="710"/>
    </row>
    <row r="29" spans="1:16" ht="25.5" customHeight="1">
      <c r="A29" s="272"/>
      <c r="B29" s="272"/>
      <c r="C29" s="272"/>
      <c r="D29" s="272"/>
      <c r="E29" s="272"/>
      <c r="F29" s="272"/>
      <c r="G29" s="272"/>
      <c r="H29" s="272"/>
      <c r="I29" s="272"/>
      <c r="J29" s="270"/>
      <c r="K29" s="129"/>
      <c r="L29" s="710"/>
      <c r="M29" s="710"/>
      <c r="N29" s="710"/>
      <c r="O29" s="710"/>
      <c r="P29" s="710"/>
    </row>
    <row r="30" spans="1:16" ht="25.5" customHeight="1">
      <c r="A30" s="142">
        <v>1</v>
      </c>
      <c r="B30" s="142" t="str">
        <f>INDEX(Z7:Z8,A30)</f>
        <v>Polski</v>
      </c>
      <c r="C30" s="272"/>
      <c r="D30" s="272"/>
      <c r="E30" s="272"/>
      <c r="F30" s="272"/>
      <c r="G30" s="272"/>
      <c r="H30" s="272"/>
      <c r="I30" s="272"/>
      <c r="J30" s="270"/>
      <c r="K30" s="78"/>
      <c r="L30" s="78"/>
      <c r="M30" s="270"/>
      <c r="N30" s="270"/>
      <c r="O30" s="270"/>
      <c r="P30" s="270"/>
    </row>
    <row r="31" spans="1:16" ht="26.25" customHeight="1">
      <c r="A31" s="272"/>
      <c r="B31" s="272"/>
      <c r="C31" s="272"/>
      <c r="D31" s="272"/>
      <c r="E31" s="272"/>
      <c r="F31" s="272"/>
      <c r="G31" s="272"/>
      <c r="H31" s="272"/>
      <c r="I31" s="272"/>
      <c r="J31" s="270"/>
      <c r="K31" s="270"/>
      <c r="L31" s="270"/>
      <c r="M31" s="270"/>
      <c r="N31" s="270"/>
      <c r="O31" s="270"/>
      <c r="P31" s="270"/>
    </row>
    <row r="32" spans="1:16">
      <c r="A32" s="272"/>
      <c r="B32" s="272"/>
      <c r="C32" s="272"/>
      <c r="D32" s="272"/>
      <c r="E32" s="272"/>
      <c r="F32" s="272"/>
      <c r="G32" s="272"/>
      <c r="H32" s="272"/>
      <c r="I32" s="272"/>
      <c r="J32" s="270"/>
      <c r="K32" s="270"/>
      <c r="L32" s="270"/>
      <c r="M32" s="270"/>
      <c r="N32" s="270"/>
      <c r="O32" s="270"/>
      <c r="P32" s="270"/>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273"/>
      <c r="B1" s="273"/>
      <c r="C1" s="273"/>
      <c r="D1" s="273"/>
      <c r="E1" s="273"/>
      <c r="F1" s="273"/>
      <c r="G1" s="273"/>
      <c r="H1" s="273"/>
      <c r="I1" s="273"/>
      <c r="J1" s="273"/>
      <c r="K1" s="273"/>
      <c r="L1" s="273"/>
      <c r="M1" s="273"/>
      <c r="N1" s="273"/>
      <c r="O1" s="273"/>
      <c r="P1" s="273"/>
      <c r="Q1" s="273"/>
      <c r="R1" s="273"/>
    </row>
    <row r="2" spans="1:18" ht="15" customHeight="1">
      <c r="A2" s="12"/>
      <c r="B2" s="12"/>
      <c r="C2" s="12"/>
      <c r="D2" s="12"/>
      <c r="E2" s="12"/>
      <c r="F2" s="12"/>
      <c r="G2" s="12"/>
      <c r="H2" s="12"/>
      <c r="I2" s="12"/>
      <c r="J2" s="1138"/>
      <c r="K2" s="1138"/>
      <c r="L2" s="1138"/>
      <c r="M2" s="1138"/>
      <c r="N2" s="86"/>
      <c r="O2" s="86"/>
      <c r="P2" s="86"/>
      <c r="Q2" s="86"/>
      <c r="R2" s="86"/>
    </row>
    <row r="3" spans="1:18" ht="15" customHeight="1">
      <c r="A3" s="12"/>
      <c r="B3" s="12"/>
      <c r="C3" s="12"/>
      <c r="D3" s="12"/>
      <c r="E3" s="12"/>
      <c r="F3" s="12"/>
      <c r="G3" s="12"/>
      <c r="H3" s="12"/>
      <c r="I3" s="12"/>
      <c r="J3" s="1138"/>
      <c r="K3" s="1138"/>
      <c r="L3" s="1138"/>
      <c r="M3" s="1138"/>
      <c r="N3" s="86"/>
      <c r="O3" s="86"/>
      <c r="P3" s="86"/>
      <c r="Q3" s="86"/>
      <c r="R3" s="86"/>
    </row>
    <row r="4" spans="1:18">
      <c r="A4" s="12"/>
      <c r="B4" s="12"/>
      <c r="C4" s="12"/>
      <c r="D4" s="12"/>
      <c r="E4" s="12"/>
      <c r="F4" s="12"/>
      <c r="G4" s="12"/>
      <c r="H4" s="12"/>
      <c r="I4" s="12"/>
      <c r="J4" s="1138"/>
      <c r="K4" s="1138"/>
      <c r="L4" s="1138"/>
      <c r="M4" s="1138"/>
      <c r="N4" s="86"/>
      <c r="O4" s="86"/>
      <c r="P4" s="86"/>
      <c r="Q4" s="86"/>
      <c r="R4" s="86"/>
    </row>
    <row r="5" spans="1:18">
      <c r="A5" s="12"/>
      <c r="B5" s="12"/>
      <c r="C5" s="12"/>
      <c r="D5" s="12"/>
      <c r="E5" s="12"/>
      <c r="F5" s="12"/>
      <c r="G5" s="12"/>
      <c r="H5" s="12"/>
      <c r="I5" s="12"/>
      <c r="J5" s="86"/>
      <c r="K5" s="86"/>
      <c r="L5" s="86"/>
      <c r="M5" s="86"/>
      <c r="N5" s="86"/>
      <c r="O5" s="86"/>
      <c r="P5" s="86"/>
      <c r="Q5" s="86"/>
      <c r="R5" s="86"/>
    </row>
    <row r="6" spans="1:18">
      <c r="A6" s="12"/>
      <c r="B6" s="12"/>
      <c r="C6" s="12"/>
      <c r="D6" s="12"/>
      <c r="E6" s="12"/>
      <c r="F6" s="12"/>
      <c r="G6" s="12"/>
      <c r="H6" s="12"/>
      <c r="I6" s="12"/>
      <c r="J6" s="12"/>
      <c r="K6" s="12"/>
      <c r="L6" s="12"/>
      <c r="M6" s="12"/>
      <c r="N6" s="12"/>
      <c r="O6" s="12"/>
      <c r="P6" s="12"/>
      <c r="Q6" s="273"/>
      <c r="R6" s="273"/>
    </row>
    <row r="7" spans="1:18">
      <c r="A7" s="12"/>
      <c r="B7" s="12"/>
      <c r="C7" s="12"/>
      <c r="D7" s="12"/>
      <c r="E7" s="12"/>
      <c r="F7" s="12"/>
      <c r="G7" s="12"/>
      <c r="H7" s="12"/>
      <c r="I7" s="12"/>
      <c r="J7" s="12"/>
      <c r="K7" s="12"/>
      <c r="L7" s="12"/>
      <c r="M7" s="12"/>
      <c r="N7" s="12"/>
      <c r="O7" s="12"/>
      <c r="P7" s="12"/>
      <c r="Q7" s="273"/>
      <c r="R7" s="273"/>
    </row>
    <row r="8" spans="1:18">
      <c r="A8" s="12"/>
      <c r="B8" s="12"/>
      <c r="C8" s="12"/>
      <c r="D8" s="1135" t="str">
        <f>IF('Język - Language'!$B$30="Polski","Regulamin sprzedaży reklamy","General rules of advertisement sales")</f>
        <v>Regulamin sprzedaży reklamy</v>
      </c>
      <c r="E8" s="1135"/>
      <c r="F8" s="1135"/>
      <c r="G8" s="1136" t="s">
        <v>80</v>
      </c>
      <c r="H8" s="1137"/>
      <c r="I8" s="1137"/>
      <c r="J8" s="1137"/>
      <c r="K8" s="1137"/>
      <c r="L8" s="1137"/>
      <c r="M8" s="1137"/>
      <c r="N8" s="1137"/>
      <c r="O8" s="1137"/>
      <c r="P8" s="1137"/>
      <c r="Q8" s="273"/>
      <c r="R8" s="273"/>
    </row>
    <row r="9" spans="1:18">
      <c r="A9" s="12"/>
      <c r="B9" s="12"/>
      <c r="C9" s="12"/>
      <c r="D9" s="30"/>
      <c r="E9" s="30"/>
      <c r="F9" s="30"/>
      <c r="G9" s="31"/>
      <c r="H9" s="31"/>
      <c r="I9" s="31"/>
      <c r="J9" s="31"/>
      <c r="K9" s="31"/>
      <c r="L9" s="31"/>
      <c r="M9" s="31"/>
      <c r="N9" s="31"/>
      <c r="O9" s="31"/>
      <c r="P9" s="31"/>
      <c r="Q9" s="273"/>
      <c r="R9" s="273"/>
    </row>
    <row r="10" spans="1:18" ht="57" customHeight="1">
      <c r="A10" s="12"/>
      <c r="B10" s="12"/>
      <c r="C10" s="12"/>
      <c r="D10" s="1141" t="str">
        <f>IF('Język - Language'!$B$30="Polski","Specyfikacja techniczna do pobrania na serwisie Reklama.wp.pl","You can download our technical specification from reklama.wp.pl")</f>
        <v>Specyfikacja techniczna do pobrania na serwisie Reklama.wp.pl</v>
      </c>
      <c r="E10" s="1141"/>
      <c r="F10" s="1141"/>
      <c r="G10" s="1136" t="s">
        <v>80</v>
      </c>
      <c r="H10" s="1137"/>
      <c r="I10" s="1137"/>
      <c r="J10" s="1137"/>
      <c r="K10" s="1137"/>
      <c r="L10" s="1137"/>
      <c r="M10" s="1137"/>
      <c r="N10" s="1137"/>
      <c r="O10" s="1137"/>
      <c r="P10" s="31"/>
      <c r="Q10" s="273"/>
      <c r="R10" s="273"/>
    </row>
    <row r="11" spans="1:18" s="13" customFormat="1" ht="47.25" customHeight="1">
      <c r="A11" s="273"/>
      <c r="B11" s="273"/>
      <c r="C11" s="273"/>
      <c r="D11" s="273"/>
      <c r="E11" s="273"/>
      <c r="F11" s="273"/>
      <c r="G11" s="273"/>
      <c r="H11" s="273"/>
      <c r="I11" s="273"/>
      <c r="J11" s="273"/>
      <c r="K11" s="273"/>
      <c r="L11" s="273"/>
      <c r="M11" s="273"/>
      <c r="N11" s="273"/>
      <c r="O11" s="273"/>
      <c r="P11" s="273"/>
      <c r="Q11" s="273"/>
      <c r="R11" s="273"/>
    </row>
    <row r="12" spans="1:18" s="13" customFormat="1">
      <c r="A12" s="273"/>
      <c r="B12" s="273"/>
      <c r="C12" s="273"/>
      <c r="D12" s="334"/>
      <c r="E12" s="334"/>
      <c r="F12" s="334"/>
      <c r="G12" s="1142"/>
      <c r="H12" s="1142"/>
      <c r="I12" s="1142"/>
      <c r="J12" s="1142"/>
      <c r="K12" s="1142"/>
      <c r="L12" s="1142"/>
      <c r="M12" s="1142"/>
      <c r="N12" s="1142"/>
      <c r="O12" s="1142"/>
      <c r="P12" s="273"/>
      <c r="Q12" s="273"/>
      <c r="R12" s="273"/>
    </row>
    <row r="13" spans="1:18" s="13" customFormat="1">
      <c r="A13" s="273"/>
      <c r="B13" s="273"/>
      <c r="C13" s="273"/>
      <c r="D13" s="14"/>
      <c r="E13" s="14"/>
      <c r="F13" s="14"/>
      <c r="G13" s="273"/>
      <c r="H13" s="273"/>
      <c r="I13" s="273"/>
      <c r="J13" s="273"/>
      <c r="K13" s="273"/>
      <c r="L13" s="273"/>
      <c r="M13" s="273"/>
      <c r="N13" s="273"/>
      <c r="O13" s="273"/>
      <c r="P13" s="273"/>
      <c r="Q13" s="273"/>
      <c r="R13" s="273"/>
    </row>
    <row r="14" spans="1:18" s="13" customFormat="1">
      <c r="A14" s="273"/>
      <c r="B14" s="273"/>
      <c r="C14" s="273"/>
      <c r="D14" s="1143"/>
      <c r="E14" s="1143"/>
      <c r="F14" s="1143"/>
      <c r="G14" s="1142"/>
      <c r="H14" s="1142"/>
      <c r="I14" s="1142"/>
      <c r="J14" s="1142"/>
      <c r="K14" s="1142"/>
      <c r="L14" s="1142"/>
      <c r="M14" s="1142"/>
      <c r="N14" s="1142"/>
      <c r="O14" s="1142"/>
      <c r="P14" s="273"/>
      <c r="Q14" s="273"/>
      <c r="R14" s="273"/>
    </row>
    <row r="15" spans="1:18" s="13" customFormat="1">
      <c r="A15" s="273"/>
      <c r="B15" s="273"/>
      <c r="C15" s="273"/>
      <c r="D15" s="273"/>
      <c r="E15"/>
      <c r="F15" s="273"/>
      <c r="G15" s="1139"/>
      <c r="H15" s="1140"/>
      <c r="I15" s="1140"/>
      <c r="J15" s="1140"/>
      <c r="K15" s="1140"/>
      <c r="L15" s="1140"/>
      <c r="M15" s="1140"/>
      <c r="N15" s="1140"/>
      <c r="O15" s="1140"/>
      <c r="P15" s="273"/>
      <c r="Q15" s="273"/>
      <c r="R15" s="273"/>
    </row>
    <row r="16" spans="1:18" s="13" customFormat="1">
      <c r="A16" s="273"/>
      <c r="B16" s="273"/>
      <c r="C16" s="273"/>
      <c r="D16" s="273"/>
      <c r="E16" s="273"/>
      <c r="F16" s="273"/>
      <c r="G16" s="273"/>
      <c r="H16" s="273"/>
      <c r="I16" s="273"/>
      <c r="J16" s="273"/>
      <c r="K16" s="273"/>
      <c r="L16" s="273"/>
      <c r="M16" s="273"/>
      <c r="N16" s="273"/>
      <c r="O16" s="273"/>
      <c r="P16" s="273"/>
      <c r="Q16" s="273"/>
      <c r="R16" s="273"/>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900-000000000000}"/>
    <hyperlink ref="G8" r:id="rId2" xr:uid="{00000000-0004-0000-09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R107"/>
  <sheetViews>
    <sheetView tabSelected="1" zoomScaleNormal="100" workbookViewId="0">
      <pane ySplit="4" topLeftCell="A5" activePane="bottomLeft" state="frozen"/>
      <selection pane="bottomLeft"/>
    </sheetView>
  </sheetViews>
  <sheetFormatPr defaultColWidth="28.85546875" defaultRowHeight="12.75"/>
  <cols>
    <col min="1" max="1" width="2.85546875" style="2" customWidth="1"/>
    <col min="2" max="2" width="4.85546875" style="2" customWidth="1"/>
    <col min="3" max="3" width="18.5703125" style="2" customWidth="1"/>
    <col min="4" max="4" width="18.5703125" style="232" customWidth="1"/>
    <col min="5" max="5" width="18.5703125" style="124" customWidth="1"/>
    <col min="6" max="6" width="18.5703125" style="2" customWidth="1"/>
    <col min="7" max="7" width="18.5703125" style="232" customWidth="1"/>
    <col min="8" max="8" width="18.5703125" style="124" customWidth="1"/>
    <col min="9" max="10" width="18.5703125" style="2" customWidth="1"/>
    <col min="11" max="12" width="16.42578125" style="2" customWidth="1"/>
    <col min="13" max="13" width="14.5703125" style="2" customWidth="1"/>
    <col min="14" max="16384" width="28.85546875" style="2"/>
  </cols>
  <sheetData>
    <row r="1" spans="1:13" ht="12.75" customHeight="1">
      <c r="A1"/>
      <c r="B1" s="272"/>
      <c r="C1" s="272"/>
      <c r="D1" s="272"/>
      <c r="E1" s="272"/>
      <c r="F1" s="272"/>
      <c r="G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H1" s="697"/>
      <c r="I1" s="697"/>
      <c r="J1" s="697"/>
      <c r="K1" s="274"/>
      <c r="L1" s="272"/>
      <c r="M1" s="272"/>
    </row>
    <row r="2" spans="1:13" ht="12.75" customHeight="1">
      <c r="A2" s="272"/>
      <c r="B2" s="272"/>
      <c r="C2" s="274"/>
      <c r="D2" s="274"/>
      <c r="E2" s="274"/>
      <c r="F2" s="274"/>
      <c r="G2" s="697"/>
      <c r="H2" s="697"/>
      <c r="I2" s="697"/>
      <c r="J2" s="697"/>
      <c r="K2" s="274"/>
      <c r="L2" s="272"/>
      <c r="M2" s="272"/>
    </row>
    <row r="3" spans="1:13" ht="12.75" customHeight="1">
      <c r="A3" s="272"/>
      <c r="B3" s="272"/>
      <c r="C3" s="274"/>
      <c r="D3" s="274"/>
      <c r="E3" s="274"/>
      <c r="F3" s="274"/>
      <c r="G3" s="697"/>
      <c r="H3" s="697"/>
      <c r="I3" s="697"/>
      <c r="J3" s="697"/>
      <c r="K3" s="274"/>
      <c r="L3" s="272"/>
      <c r="M3" s="272"/>
    </row>
    <row r="4" spans="1:13" s="34" customFormat="1" ht="12.75" customHeight="1">
      <c r="A4" s="275"/>
      <c r="B4" s="35"/>
      <c r="C4" s="35" t="str">
        <f>IF('Język - Language'!$B$30="Polski","         Reklama na wielu ekranach","         Multiscreen. Cross-Device")</f>
        <v xml:space="preserve">         Reklama na wielu ekranach</v>
      </c>
      <c r="D4" s="35"/>
      <c r="E4" s="35"/>
      <c r="F4" s="275"/>
      <c r="G4" s="275"/>
      <c r="H4" s="275"/>
      <c r="I4" s="275"/>
      <c r="J4" s="269" t="str">
        <f>IF('Język - Language'!$B$30="Polski","PL","EN")</f>
        <v>PL</v>
      </c>
      <c r="K4" s="275"/>
      <c r="L4" s="275"/>
      <c r="M4" s="275"/>
    </row>
    <row r="5" spans="1:13" ht="12.75" customHeight="1">
      <c r="A5" s="272"/>
      <c r="B5" s="272"/>
      <c r="C5" s="272"/>
      <c r="D5" s="272"/>
      <c r="E5" s="272"/>
      <c r="F5" s="272"/>
      <c r="G5" s="272"/>
      <c r="H5" s="272"/>
      <c r="I5" s="272"/>
      <c r="J5" s="272"/>
      <c r="K5" s="272"/>
      <c r="L5" s="272"/>
      <c r="M5" s="272"/>
    </row>
    <row r="6" spans="1:13" s="54" customFormat="1" ht="12.75" customHeight="1">
      <c r="A6" s="272"/>
      <c r="B6" s="272"/>
      <c r="C6" s="272"/>
      <c r="D6" s="272"/>
      <c r="E6" s="272"/>
      <c r="F6" s="272"/>
      <c r="G6" s="272"/>
      <c r="H6" s="272"/>
      <c r="I6" s="272"/>
      <c r="J6" s="272"/>
      <c r="K6" s="272"/>
      <c r="L6" s="272"/>
      <c r="M6" s="272"/>
    </row>
    <row r="7" spans="1:13" s="53" customFormat="1" ht="12.75" customHeight="1">
      <c r="A7" s="270"/>
      <c r="B7" s="270"/>
      <c r="C7" s="809" t="str">
        <f>IF('Język - Language'!$B$30="Polski","        WP STRONA GŁÓWNA (DESKTOP/TABLET)","        WP HOME PAGE (DESKTOP/TABLET)")</f>
        <v xml:space="preserve">        WP STRONA GŁÓWNA (DESKTOP/TABLET)</v>
      </c>
      <c r="D7" s="809"/>
      <c r="E7" s="809"/>
      <c r="F7" s="809" t="str">
        <f>IF('Język - Language'!$B$30="Polski","WP STRONA GŁÓWNA (MOBILE¹)","WP HOME PAGE (MOBILE¹)")</f>
        <v>WP STRONA GŁÓWNA (MOBILE¹)</v>
      </c>
      <c r="G7" s="809"/>
      <c r="H7" s="809"/>
      <c r="I7" s="809" t="str">
        <f>IF('Język - Language'!$B$30="Polski","CENA RC","PRICE")</f>
        <v>CENA RC</v>
      </c>
      <c r="J7" s="819"/>
      <c r="K7" s="272"/>
      <c r="L7" s="272"/>
      <c r="M7" s="272"/>
    </row>
    <row r="8" spans="1:13" s="53" customFormat="1" ht="12.75" customHeight="1">
      <c r="A8"/>
      <c r="B8" s="270"/>
      <c r="C8" s="810"/>
      <c r="D8" s="810"/>
      <c r="E8" s="810"/>
      <c r="F8" s="810"/>
      <c r="G8" s="810"/>
      <c r="H8" s="810"/>
      <c r="I8" s="304" t="str">
        <f>IF('Język - Language'!$B$30="Polski","styczeń-wrzesień","Jan-Sep")</f>
        <v>styczeń-wrzesień</v>
      </c>
      <c r="J8" s="234" t="str">
        <f>IF('Język - Language'!$B$30="Polski","październik-grudzień","Oct-Dec")</f>
        <v>październik-grudzień</v>
      </c>
      <c r="K8" s="270"/>
      <c r="L8" s="270"/>
      <c r="M8" s="270"/>
    </row>
    <row r="9" spans="1:13" s="272" customFormat="1" ht="25.5" customHeight="1">
      <c r="B9" s="33"/>
      <c r="C9" s="816" t="str">
        <f>IF('Język - Language'!$B$30="Polski","Commercial Break 1/uu na godzinę","Commercial Break 1/uu per hour")</f>
        <v>Commercial Break 1/uu na godzinę</v>
      </c>
      <c r="D9" s="817"/>
      <c r="E9" s="818"/>
      <c r="F9" s="820" t="str">
        <f>IF('Język - Language'!$B$30="Polski","Commercial Break 1/uu na godzinę","Commercial Break 1/uu per hour")</f>
        <v>Commercial Break 1/uu na godzinę</v>
      </c>
      <c r="G9" s="821"/>
      <c r="H9" s="822"/>
      <c r="I9" s="339">
        <v>380000</v>
      </c>
      <c r="J9" s="338">
        <v>450000</v>
      </c>
      <c r="K9" s="270"/>
      <c r="L9" s="270"/>
      <c r="M9" s="270"/>
    </row>
    <row r="10" spans="1:13" s="53" customFormat="1" ht="25.5" customHeight="1">
      <c r="A10" s="272"/>
      <c r="B10" s="831" t="str">
        <f>IF('Język - Language'!$B$30="Polski","Górny slot (pierwsza dniówka: 3 pierwsze odsłony)","Upper slot 3/uu")</f>
        <v>Górny slot (pierwsza dniówka: 3 pierwsze odsłony)</v>
      </c>
      <c r="C10" s="714" t="str">
        <f>IF('Język - Language'!$B$30="Polski","Double Billboard lub Wideboard 3/uu","Double Billboard or Wideboard 3/uu")</f>
        <v>Double Billboard lub Wideboard 3/uu</v>
      </c>
      <c r="D10" s="721"/>
      <c r="E10" s="715"/>
      <c r="F10" s="820" t="str">
        <f>IF('Język - Language'!$B$30="Polski","Banner skalowalny 3/uu","Adjusted Banner 3/uu")</f>
        <v>Banner skalowalny 3/uu</v>
      </c>
      <c r="G10" s="821"/>
      <c r="H10" s="822"/>
      <c r="I10" s="306">
        <v>570000</v>
      </c>
      <c r="J10" s="169">
        <v>680000</v>
      </c>
      <c r="K10" s="270"/>
      <c r="L10" s="270"/>
      <c r="M10" s="270"/>
    </row>
    <row r="11" spans="1:13" s="110" customFormat="1" ht="25.5" customHeight="1">
      <c r="A11" s="272"/>
      <c r="B11" s="831"/>
      <c r="C11" s="714" t="str">
        <f>IF('Język - Language'!$B$30="Polski","Gigaboard 1/uu + Mega Double Billboard 2/uu","Gigaboard 1/uu + Mega Double Billboard 2/uu")</f>
        <v>Gigaboard 1/uu + Mega Double Billboard 2/uu</v>
      </c>
      <c r="D11" s="721"/>
      <c r="E11" s="715"/>
      <c r="F11" s="820" t="str">
        <f>IF('Język - Language'!$B$30="Polski","Banner skalowalny XL 1/uu + Banner skalowalny 2/uu","Adjusted Banner XL 1/uu + Adjusted Banner 2/uu")</f>
        <v>Banner skalowalny XL 1/uu + Banner skalowalny 2/uu</v>
      </c>
      <c r="G11" s="821"/>
      <c r="H11" s="822"/>
      <c r="I11" s="306">
        <v>770000</v>
      </c>
      <c r="J11" s="169">
        <v>925000</v>
      </c>
      <c r="K11" s="270"/>
      <c r="L11" s="270"/>
      <c r="M11" s="270"/>
    </row>
    <row r="12" spans="1:13" s="89" customFormat="1" ht="25.5" customHeight="1">
      <c r="A12" s="272"/>
      <c r="B12" s="831"/>
      <c r="C12" s="714" t="str">
        <f>IF('Język - Language'!$B$30="Polski","Screening 1/uu + DBB lub Wideboard 2/uu (tablet: tylko górny format)","Screening 1/uu + DBB or Wideboard 2/uu (tablet:only upper banner)")</f>
        <v>Screening 1/uu + DBB lub Wideboard 2/uu (tablet: tylko górny format)</v>
      </c>
      <c r="D12" s="721"/>
      <c r="E12" s="715"/>
      <c r="F12" s="820" t="str">
        <f>IF('Język - Language'!$B$30="Polski","Screening lub Banner skalowalny 1/uu + Banner skalowalny 2/uu ","Screening or Adjusted Banner 1/uu + Adjusted Banner 2/uu ")</f>
        <v xml:space="preserve">Screening lub Banner skalowalny 1/uu + Banner skalowalny 2/uu </v>
      </c>
      <c r="G12" s="821"/>
      <c r="H12" s="822"/>
      <c r="I12" s="306">
        <v>630000</v>
      </c>
      <c r="J12" s="169">
        <v>750000</v>
      </c>
      <c r="K12" s="270"/>
      <c r="L12" s="270"/>
      <c r="M12" s="270"/>
    </row>
    <row r="13" spans="1:13" s="89" customFormat="1" ht="25.5" customHeight="1">
      <c r="A13" s="272"/>
      <c r="B13" s="831"/>
      <c r="C13" s="816" t="str">
        <f>IF('Język - Language'!$B$30="Polski","Screening 1/uu + DBB lub Wideboard 2/uu (tablet: tylko górny format)","Screening 1/uu + DBB lub Wideboard 2/uu (tablet:only upper banner)")</f>
        <v>Screening 1/uu + DBB lub Wideboard 2/uu (tablet: tylko górny format)</v>
      </c>
      <c r="D13" s="817"/>
      <c r="E13" s="818"/>
      <c r="F13" s="825" t="str">
        <f>IF('Język - Language'!$B$30="Polski","Screening 3/uu","Screening 3/uu")</f>
        <v>Screening 3/uu</v>
      </c>
      <c r="G13" s="826"/>
      <c r="H13" s="827"/>
      <c r="I13" s="823">
        <v>700000</v>
      </c>
      <c r="J13" s="814">
        <v>840000</v>
      </c>
      <c r="K13" s="270"/>
      <c r="L13" s="270"/>
      <c r="M13" s="270"/>
    </row>
    <row r="14" spans="1:13" s="53" customFormat="1" ht="25.5" customHeight="1">
      <c r="A14" s="272"/>
      <c r="B14" s="831"/>
      <c r="C14" s="833" t="str">
        <f>IF('Język - Language'!$B$30="Polski","VideoBackLayer 1/uu + DBB lub Wideboard 2/uu","VideoBackLayer 1/uu + DBB lub Wideboard 2/uu")</f>
        <v>VideoBackLayer 1/uu + DBB lub Wideboard 2/uu</v>
      </c>
      <c r="D14" s="834"/>
      <c r="E14" s="835"/>
      <c r="F14" s="828"/>
      <c r="G14" s="829"/>
      <c r="H14" s="830"/>
      <c r="I14" s="824"/>
      <c r="J14" s="815"/>
      <c r="K14" s="270"/>
      <c r="L14" s="270"/>
      <c r="M14" s="270"/>
    </row>
    <row r="15" spans="1:13" s="121" customFormat="1" ht="25.5" customHeight="1">
      <c r="A15" s="272"/>
      <c r="B15" s="831"/>
      <c r="C15" s="714" t="str">
        <f>IF('Język - Language'!$B$30="Polski","Welcome Screen 1/uu + DBB lub Wideboard 2/uu","Welcome Screen 1/uu + DBB lub Wideboard 2/uu")</f>
        <v>Welcome Screen 1/uu + DBB lub Wideboard 2/uu</v>
      </c>
      <c r="D15" s="721"/>
      <c r="E15" s="715"/>
      <c r="F15" s="820" t="str">
        <f>IF('Język - Language'!$B$30="Polski","Banner skalowalny XL 1/uu + Banner skalowalny 2/uu","Adjusted Banner XL 1/uu + Adjusted Banner 2/uu")</f>
        <v>Banner skalowalny XL 1/uu + Banner skalowalny 2/uu</v>
      </c>
      <c r="G15" s="821"/>
      <c r="H15" s="822"/>
      <c r="I15" s="306">
        <v>700000</v>
      </c>
      <c r="J15" s="169">
        <v>840000</v>
      </c>
      <c r="K15" s="270"/>
      <c r="L15" s="270"/>
      <c r="M15" s="270"/>
    </row>
    <row r="16" spans="1:13" s="89" customFormat="1" ht="25.5" customHeight="1">
      <c r="A16" s="272"/>
      <c r="B16" s="831"/>
      <c r="C16" s="714" t="str">
        <f>IF('Język - Language'!$B$30="Polski","Welcome Screen XL 1/uu + DBB lub Wideboard 2/uu","Welcome Screen XL 1/uu + DBB lub Wideboard 2/uu")</f>
        <v>Welcome Screen XL 1/uu + DBB lub Wideboard 2/uu</v>
      </c>
      <c r="D16" s="721"/>
      <c r="E16" s="715"/>
      <c r="F16" s="714" t="str">
        <f>IF('Język - Language'!$B$30="Polski","Banner skalowalny XL 1/uu + Banner skalowalny 2/uu","Adjusted Banner XL 1/uu + Adjusted Banner 2/uu")</f>
        <v>Banner skalowalny XL 1/uu + Banner skalowalny 2/uu</v>
      </c>
      <c r="G16" s="721"/>
      <c r="H16" s="715"/>
      <c r="I16" s="306">
        <v>770000</v>
      </c>
      <c r="J16" s="169">
        <v>930000</v>
      </c>
      <c r="K16" s="270"/>
      <c r="L16" s="270"/>
      <c r="M16" s="270"/>
    </row>
    <row r="17" spans="2:13" s="114" customFormat="1" ht="25.5" customHeight="1">
      <c r="B17" s="832"/>
      <c r="C17" s="78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784"/>
      <c r="E17" s="784"/>
      <c r="F17" s="784"/>
      <c r="G17" s="784"/>
      <c r="H17" s="784"/>
      <c r="I17" s="784"/>
      <c r="J17" s="785"/>
      <c r="K17" s="270"/>
      <c r="L17" s="270"/>
      <c r="M17" s="270"/>
    </row>
    <row r="18" spans="2:13" s="110" customFormat="1" ht="25.5" customHeight="1">
      <c r="B18" s="836" t="str">
        <f>IF('Język - Language'!$B$30="Polski","Druga dniówka (od 4. odsłony)","Upper slot (FF after 3rd page view)")</f>
        <v>Druga dniówka (od 4. odsłony)</v>
      </c>
      <c r="C18" s="714" t="str">
        <f>IF('Język - Language'!$B$30="Polski","Double Billboard lub Wideboard FF","Double Billboard or Wideboard FF")</f>
        <v>Double Billboard lub Wideboard FF</v>
      </c>
      <c r="D18" s="721"/>
      <c r="E18" s="715"/>
      <c r="F18" s="714" t="str">
        <f>IF('Język - Language'!$B$30="Polski","Banner skalowalny FF","Adjusted Banner FF")</f>
        <v>Banner skalowalny FF</v>
      </c>
      <c r="G18" s="721"/>
      <c r="H18" s="715"/>
      <c r="I18" s="306">
        <v>315000</v>
      </c>
      <c r="J18" s="169">
        <v>375000</v>
      </c>
      <c r="K18" s="270"/>
      <c r="L18" s="270"/>
      <c r="M18" s="270"/>
    </row>
    <row r="19" spans="2:13" s="110" customFormat="1" ht="25.5" customHeight="1">
      <c r="B19" s="837"/>
      <c r="C19" s="714" t="str">
        <f>IF('Język - Language'!$B$30="Polski","Gigaboard 1/uu + Mega Double Billboard FF","Gigaboard 1/uu + Mega Double Billboard FF")</f>
        <v>Gigaboard 1/uu + Mega Double Billboard FF</v>
      </c>
      <c r="D19" s="721"/>
      <c r="E19" s="715"/>
      <c r="F19" s="714" t="str">
        <f>IF('Język - Language'!$B$30="Polski","Banner skalowalny XL 1/uu + Banner skalowalny FF","Adjusted Banner XL 1/uu + Adjusted Banner FF")</f>
        <v>Banner skalowalny XL 1/uu + Banner skalowalny FF</v>
      </c>
      <c r="G19" s="721"/>
      <c r="H19" s="715"/>
      <c r="I19" s="306">
        <v>440000</v>
      </c>
      <c r="J19" s="169">
        <v>530000</v>
      </c>
      <c r="K19" s="270"/>
      <c r="L19" s="270"/>
      <c r="M19" s="270"/>
    </row>
    <row r="20" spans="2:13" s="89" customFormat="1" ht="25.5" customHeight="1">
      <c r="B20" s="837"/>
      <c r="C20" s="714" t="str">
        <f>IF('Język - Language'!$B$30="Polski","Welcome Screen 1/uu + DBB lub Wideboard FF","Welcome Screen 1/uu + DBB lub Wideboard FF")</f>
        <v>Welcome Screen 1/uu + DBB lub Wideboard FF</v>
      </c>
      <c r="D20" s="721"/>
      <c r="E20" s="715"/>
      <c r="F20" s="714" t="str">
        <f>IF('Język - Language'!$B$30="Polski","Banner skalowalny XL 1/uu + Banner skalowalny FF","Adjusted Banner XL 1/uu + Adjusted Banner FF")</f>
        <v>Banner skalowalny XL 1/uu + Banner skalowalny FF</v>
      </c>
      <c r="G20" s="721"/>
      <c r="H20" s="715"/>
      <c r="I20" s="306">
        <v>415000</v>
      </c>
      <c r="J20" s="169">
        <v>495000</v>
      </c>
      <c r="K20" s="270"/>
      <c r="L20" s="270"/>
      <c r="M20" s="270"/>
    </row>
    <row r="21" spans="2:13" s="53" customFormat="1" ht="25.5" customHeight="1">
      <c r="B21" s="838"/>
      <c r="C21" s="78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1" s="784"/>
      <c r="E21" s="784"/>
      <c r="F21" s="784"/>
      <c r="G21" s="784"/>
      <c r="H21" s="784"/>
      <c r="I21" s="784"/>
      <c r="J21" s="785"/>
      <c r="K21" s="270"/>
      <c r="L21" s="270"/>
      <c r="M21" s="270"/>
    </row>
    <row r="22" spans="2:13" s="53" customFormat="1" ht="12.75" customHeight="1">
      <c r="B22" s="762" t="str">
        <f>IF('Język - Language'!$B$30="Polski","Boksy w modułach tematycznych","Boxes in thematic category")</f>
        <v>Boksy w modułach tematycznych</v>
      </c>
      <c r="C22" s="714" t="s">
        <v>159</v>
      </c>
      <c r="D22" s="721"/>
      <c r="E22" s="715"/>
      <c r="F22" s="795" t="s">
        <v>159</v>
      </c>
      <c r="G22" s="796"/>
      <c r="H22" s="797"/>
      <c r="I22" s="306">
        <v>230000</v>
      </c>
      <c r="J22" s="169">
        <v>275000</v>
      </c>
      <c r="K22" s="270"/>
      <c r="L22" s="270"/>
      <c r="M22" s="270"/>
    </row>
    <row r="23" spans="2:13" s="272" customFormat="1" ht="12.75" customHeight="1">
      <c r="B23" s="762"/>
      <c r="C23" s="714" t="s">
        <v>81</v>
      </c>
      <c r="D23" s="721"/>
      <c r="E23" s="715"/>
      <c r="F23" s="795" t="s">
        <v>81</v>
      </c>
      <c r="G23" s="796"/>
      <c r="H23" s="797"/>
      <c r="I23" s="401">
        <v>190000</v>
      </c>
      <c r="J23" s="402">
        <v>225000</v>
      </c>
      <c r="K23" s="270"/>
      <c r="L23" s="270"/>
      <c r="M23" s="270"/>
    </row>
    <row r="24" spans="2:13" s="272" customFormat="1" ht="12.75" customHeight="1">
      <c r="B24" s="762"/>
      <c r="C24" s="714" t="str">
        <f>IF('Język - Language'!$B$30="Polski","Content Box XL (nad modułem Sport) FF","Content Box XL (above the category Sport) FF")</f>
        <v>Content Box XL (nad modułem Sport) FF</v>
      </c>
      <c r="D24" s="721"/>
      <c r="E24" s="715"/>
      <c r="F24" s="795" t="str">
        <f>IF('Język - Language'!$B$30="Polski","Content Box XL (Rectangle/Banner skalowany XL) w module Sport FF","Content Box XL (Rectangle/Adjusted Banner XL) above the category Sport FF")</f>
        <v>Content Box XL (Rectangle/Banner skalowany XL) w module Sport FF</v>
      </c>
      <c r="G24" s="796"/>
      <c r="H24" s="797"/>
      <c r="I24" s="394">
        <v>420000</v>
      </c>
      <c r="J24" s="399">
        <v>480000</v>
      </c>
      <c r="K24" s="270"/>
      <c r="L24" s="270"/>
      <c r="M24" s="270"/>
    </row>
    <row r="25" spans="2:13" s="53" customFormat="1" ht="12.75" customHeight="1">
      <c r="B25" s="762"/>
      <c r="C25" s="714" t="str">
        <f>IF('Język - Language'!$B$30="Polski","Content Box nad modułem Biznes FF²","Content Box above the category Business FF²")</f>
        <v>Content Box nad modułem Biznes FF²</v>
      </c>
      <c r="D25" s="721"/>
      <c r="E25" s="715"/>
      <c r="F25" s="769" t="str">
        <f>IF('Język - Language'!$B$30="Polski","Content Box (Banner/Banner skalowany) w module Biznes FF","Content Box (Banner/adjusted banner) above the category Business FF")</f>
        <v>Content Box (Banner/Banner skalowany) w module Biznes FF</v>
      </c>
      <c r="G25" s="770"/>
      <c r="H25" s="771"/>
      <c r="I25" s="306">
        <v>200000</v>
      </c>
      <c r="J25" s="169">
        <v>240000</v>
      </c>
      <c r="K25" s="270"/>
      <c r="L25" s="270"/>
      <c r="M25" s="270"/>
    </row>
    <row r="26" spans="2:13" s="53" customFormat="1" ht="12.75" customHeight="1">
      <c r="B26" s="762"/>
      <c r="C26" s="714" t="str">
        <f>IF('Język - Language'!$B$30="Polski","Content Box nad modułem Gwiazdy FF²","Content Box above the category Stars FF²")</f>
        <v>Content Box nad modułem Gwiazdy FF²</v>
      </c>
      <c r="D26" s="721"/>
      <c r="E26" s="715"/>
      <c r="F26" s="769" t="str">
        <f>IF('Język - Language'!$B$30="Polski","Content Box (Banner/Banner skalowany) nad modułem Gwiazdy FF","Content Box (Banner/adjusted banner) above the category Stars FF")</f>
        <v>Content Box (Banner/Banner skalowany) nad modułem Gwiazdy FF</v>
      </c>
      <c r="G26" s="770"/>
      <c r="H26" s="771"/>
      <c r="I26" s="306">
        <v>170000</v>
      </c>
      <c r="J26" s="169">
        <v>200000</v>
      </c>
      <c r="K26" s="270"/>
      <c r="L26" s="270"/>
      <c r="M26" s="270"/>
    </row>
    <row r="27" spans="2:13" s="53" customFormat="1" ht="12.75" customHeight="1">
      <c r="B27" s="762"/>
      <c r="C27" s="714" t="str">
        <f>IF('Język - Language'!$B$30="Polski","Content Box nad modułem Moto&amp;Tech&amp;Gry FF²","Content Box above the category Moto&amp;Tech FF²")</f>
        <v>Content Box nad modułem Moto&amp;Tech&amp;Gry FF²</v>
      </c>
      <c r="D27" s="721"/>
      <c r="E27" s="715"/>
      <c r="F27" s="769" t="str">
        <f>IF('Język - Language'!$B$30="Polski","Content Box (Banner/Banner skalowany) nad modułem Moto&amp;Tech FF","Content Box (Banner/adjusted banner) above the category Moto&amp;Tech FF")</f>
        <v>Content Box (Banner/Banner skalowany) nad modułem Moto&amp;Tech FF</v>
      </c>
      <c r="G27" s="770"/>
      <c r="H27" s="771"/>
      <c r="I27" s="306">
        <v>145000</v>
      </c>
      <c r="J27" s="169">
        <v>170000</v>
      </c>
      <c r="K27" s="270"/>
      <c r="L27" s="270"/>
      <c r="M27" s="270"/>
    </row>
    <row r="28" spans="2:13" s="53" customFormat="1" ht="12.75" customHeight="1">
      <c r="B28" s="762"/>
      <c r="C28" s="716" t="str">
        <f>IF('Język - Language'!$B$30="Polski","Content Box nad modułem Styl Życia FF²","Content Box above the category Lifestyle FF²")</f>
        <v>Content Box nad modułem Styl Życia FF²</v>
      </c>
      <c r="D28" s="717"/>
      <c r="E28" s="720"/>
      <c r="F28" s="811" t="str">
        <f>IF('Język - Language'!$B$30="Polski","Content Box (Banner/Banner skalowany) nad modułem Styl Życia FF","Content Box (Banner/adjusted banner) above the category Lifestyle FF")</f>
        <v>Content Box (Banner/Banner skalowany) nad modułem Styl Życia FF</v>
      </c>
      <c r="G28" s="812"/>
      <c r="H28" s="813"/>
      <c r="I28" s="404">
        <v>145000</v>
      </c>
      <c r="J28" s="405">
        <v>170000</v>
      </c>
      <c r="K28" s="270"/>
      <c r="L28" s="270"/>
      <c r="M28" s="270"/>
    </row>
    <row r="29" spans="2:13" s="145" customFormat="1" ht="12.75" customHeight="1">
      <c r="B29" s="345"/>
      <c r="C29" s="149"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29" s="149"/>
      <c r="E29" s="150"/>
      <c r="F29" s="151"/>
      <c r="G29" s="151"/>
      <c r="H29" s="151"/>
      <c r="I29" s="152"/>
      <c r="J29" s="344"/>
      <c r="K29" s="270"/>
      <c r="L29" s="270"/>
      <c r="M29" s="270"/>
    </row>
    <row r="30" spans="2:13" s="272" customFormat="1" ht="12.75" customHeight="1">
      <c r="B30" s="146"/>
      <c r="C30" s="153" t="str">
        <f>IF('Język - Language'!$B$30="Polski","² Content Box XL +75%","² Content Box XL +75%")</f>
        <v>² Content Box XL +75%</v>
      </c>
      <c r="D30" s="149"/>
      <c r="E30" s="150"/>
      <c r="F30" s="151"/>
      <c r="G30" s="151"/>
      <c r="H30" s="151"/>
      <c r="I30" s="152"/>
      <c r="J30" s="344"/>
      <c r="K30" s="270"/>
      <c r="L30" s="270"/>
      <c r="M30" s="270"/>
    </row>
    <row r="31" spans="2:13" s="53" customFormat="1" ht="12.75" customHeight="1">
      <c r="B31" s="272"/>
      <c r="C31" s="346" t="str">
        <f>IF('Język - Language'!$B$30="Polski","Dopłata za Retail Dniówkę +15%","+15% extra charge for special Retail Daily Emission")</f>
        <v>Dopłata za Retail Dniówkę +15%</v>
      </c>
      <c r="D31" s="153"/>
      <c r="E31" s="149"/>
      <c r="F31" s="155"/>
      <c r="G31" s="155"/>
      <c r="H31" s="155"/>
      <c r="I31" s="155"/>
      <c r="J31" s="158"/>
      <c r="K31" s="272"/>
      <c r="L31" s="272"/>
      <c r="M31" s="272"/>
    </row>
    <row r="32" spans="2:13" s="89" customFormat="1" ht="12.75" customHeight="1">
      <c r="B32" s="272"/>
      <c r="C32" s="272"/>
      <c r="D32" s="272"/>
      <c r="E32" s="272"/>
      <c r="F32" s="272"/>
      <c r="G32" s="272"/>
      <c r="H32" s="272"/>
      <c r="I32" s="272"/>
      <c r="J32" s="272"/>
      <c r="K32" s="272"/>
      <c r="L32" s="272"/>
      <c r="M32" s="272"/>
    </row>
    <row r="33" spans="2:13" s="53" customFormat="1" ht="12.75" customHeight="1">
      <c r="B33" s="272"/>
      <c r="C33" s="272"/>
      <c r="D33" s="272"/>
      <c r="E33" s="272"/>
      <c r="F33" s="272"/>
      <c r="G33" s="272"/>
      <c r="H33" s="272"/>
      <c r="I33" s="272"/>
      <c r="J33" s="272"/>
      <c r="K33" s="272"/>
      <c r="L33" s="272"/>
      <c r="M33" s="272"/>
    </row>
    <row r="34" spans="2:13" s="53" customFormat="1" ht="12.75" customHeight="1">
      <c r="B34" s="777" t="str">
        <f>IF('Język - Language'!$B$30="Polski","STRONA GŁÓWNA O2 + ROS O2 (DESKTOP/TABLET)","O2 HOME PAGE + ROS (DESKTOP/TABLET)")</f>
        <v>STRONA GŁÓWNA O2 + ROS O2 (DESKTOP/TABLET)</v>
      </c>
      <c r="C34" s="777"/>
      <c r="D34" s="777"/>
      <c r="E34" s="777"/>
      <c r="F34" s="777" t="str">
        <f>IF('Język - Language'!$B$30="Polski","STRONA GŁÓWNA O2 + ROS O2 (MOBILE)¹","O2 HOME PAGE + ROS (MOBILE)¹")</f>
        <v>STRONA GŁÓWNA O2 + ROS O2 (MOBILE)¹</v>
      </c>
      <c r="G34" s="777"/>
      <c r="H34" s="777"/>
      <c r="I34" s="777" t="str">
        <f>IF('Język - Language'!$B$30="Polski","CZAS EMISJI","TIME")</f>
        <v>CZAS EMISJI</v>
      </c>
      <c r="J34" s="799" t="str">
        <f>IF('Język - Language'!$B$30="Polski","CENA RC","PRICE")</f>
        <v>CENA RC</v>
      </c>
      <c r="K34" s="272"/>
      <c r="L34" s="272"/>
      <c r="M34" s="272"/>
    </row>
    <row r="35" spans="2:13" s="53" customFormat="1" ht="12.75" customHeight="1">
      <c r="B35" s="778"/>
      <c r="C35" s="778"/>
      <c r="D35" s="778"/>
      <c r="E35" s="778"/>
      <c r="F35" s="778"/>
      <c r="G35" s="778"/>
      <c r="H35" s="778"/>
      <c r="I35" s="778"/>
      <c r="J35" s="800"/>
      <c r="K35" s="272"/>
      <c r="L35" s="272"/>
      <c r="M35" s="272"/>
    </row>
    <row r="36" spans="2:13" s="56" customFormat="1" ht="12.75" customHeight="1">
      <c r="B36" s="763" t="s">
        <v>305</v>
      </c>
      <c r="C36" s="764"/>
      <c r="D36" s="764"/>
      <c r="E36" s="765"/>
      <c r="F36" s="766" t="s">
        <v>302</v>
      </c>
      <c r="G36" s="767"/>
      <c r="H36" s="768"/>
      <c r="I36" s="807"/>
      <c r="J36" s="170">
        <v>190000</v>
      </c>
      <c r="K36" s="272"/>
      <c r="L36" s="272"/>
      <c r="M36" s="272"/>
    </row>
    <row r="37" spans="2:13" s="232" customFormat="1" ht="12.75" customHeight="1">
      <c r="B37" s="773" t="s">
        <v>306</v>
      </c>
      <c r="C37" s="774"/>
      <c r="D37" s="774"/>
      <c r="E37" s="775"/>
      <c r="F37" s="801" t="s">
        <v>303</v>
      </c>
      <c r="G37" s="802"/>
      <c r="H37" s="803"/>
      <c r="I37" s="807"/>
      <c r="J37" s="170">
        <v>140000</v>
      </c>
      <c r="K37" s="272"/>
      <c r="L37" s="272"/>
      <c r="M37" s="272"/>
    </row>
    <row r="38" spans="2:13" s="272" customFormat="1" ht="12.75" customHeight="1">
      <c r="B38" s="763" t="s">
        <v>307</v>
      </c>
      <c r="C38" s="764"/>
      <c r="D38" s="764"/>
      <c r="E38" s="765"/>
      <c r="F38" s="766" t="s">
        <v>304</v>
      </c>
      <c r="G38" s="767"/>
      <c r="H38" s="768"/>
      <c r="I38" s="807"/>
      <c r="J38" s="170">
        <v>155000</v>
      </c>
    </row>
    <row r="39" spans="2:13" ht="12.75" customHeight="1">
      <c r="B39" s="792" t="s">
        <v>239</v>
      </c>
      <c r="C39" s="793"/>
      <c r="D39" s="793"/>
      <c r="E39" s="794"/>
      <c r="F39" s="804" t="s">
        <v>239</v>
      </c>
      <c r="G39" s="805"/>
      <c r="H39" s="806"/>
      <c r="I39" s="807"/>
      <c r="J39" s="172">
        <v>95000</v>
      </c>
      <c r="K39" s="272"/>
      <c r="L39" s="272"/>
      <c r="M39" s="272"/>
    </row>
    <row r="40" spans="2:13" s="272" customFormat="1" ht="12.75" customHeight="1">
      <c r="B40" s="777" t="str">
        <f>IF('Język - Language'!$B$30="Polski","STRONA GŁÓWNA O2 (DESKTOP/TABLET)","O2 HOME PAGE (DESKTOP/TABLET)")</f>
        <v>STRONA GŁÓWNA O2 (DESKTOP/TABLET)</v>
      </c>
      <c r="C40" s="777"/>
      <c r="D40" s="777"/>
      <c r="E40" s="777"/>
      <c r="F40" s="777" t="str">
        <f>IF('Język - Language'!$B$30="Polski","STRONA GŁÓWNA O2 (MOBILE)¹","O2 HOME PAGE (MOBILE)¹")</f>
        <v>STRONA GŁÓWNA O2 (MOBILE)¹</v>
      </c>
      <c r="G40" s="777"/>
      <c r="H40" s="777"/>
      <c r="I40" s="777" t="str">
        <f>IF('Język - Language'!$B$30="Polski","CZAS EMISJI","TIME")</f>
        <v>CZAS EMISJI</v>
      </c>
      <c r="J40" s="799" t="str">
        <f>IF('Język - Language'!$B$30="Polski","CENA RC","PRICE")</f>
        <v>CENA RC</v>
      </c>
    </row>
    <row r="41" spans="2:13" s="272" customFormat="1" ht="12.75" customHeight="1">
      <c r="B41" s="778"/>
      <c r="C41" s="778"/>
      <c r="D41" s="778"/>
      <c r="E41" s="778"/>
      <c r="F41" s="778"/>
      <c r="G41" s="778"/>
      <c r="H41" s="778"/>
      <c r="I41" s="778"/>
      <c r="J41" s="800"/>
    </row>
    <row r="42" spans="2:13" ht="12.75" customHeight="1">
      <c r="B42" s="766" t="s">
        <v>266</v>
      </c>
      <c r="C42" s="767"/>
      <c r="D42" s="767"/>
      <c r="E42" s="768"/>
      <c r="F42" s="766" t="s">
        <v>270</v>
      </c>
      <c r="G42" s="767"/>
      <c r="H42" s="768"/>
      <c r="I42" s="807" t="str">
        <f>IF('Język - Language'!$B$30="Polski","dzień","1 day")</f>
        <v>dzień</v>
      </c>
      <c r="J42" s="171">
        <v>50000</v>
      </c>
      <c r="K42" s="272"/>
      <c r="L42" s="272"/>
      <c r="M42" s="272"/>
    </row>
    <row r="43" spans="2:13" ht="12.75" customHeight="1">
      <c r="B43" s="766" t="s">
        <v>267</v>
      </c>
      <c r="C43" s="767"/>
      <c r="D43" s="767"/>
      <c r="E43" s="768"/>
      <c r="F43" s="766" t="s">
        <v>271</v>
      </c>
      <c r="G43" s="767"/>
      <c r="H43" s="768"/>
      <c r="I43" s="807"/>
      <c r="J43" s="172">
        <v>45000</v>
      </c>
      <c r="K43" s="272"/>
      <c r="L43" s="272"/>
      <c r="M43" s="272"/>
    </row>
    <row r="44" spans="2:13" s="232" customFormat="1" ht="12.75" customHeight="1">
      <c r="B44" s="766" t="s">
        <v>268</v>
      </c>
      <c r="C44" s="767"/>
      <c r="D44" s="767"/>
      <c r="E44" s="768"/>
      <c r="F44" s="766" t="s">
        <v>268</v>
      </c>
      <c r="G44" s="767"/>
      <c r="H44" s="768"/>
      <c r="I44" s="807"/>
      <c r="J44" s="171" t="s">
        <v>272</v>
      </c>
      <c r="K44" s="272"/>
    </row>
    <row r="45" spans="2:13" ht="12.75" customHeight="1">
      <c r="B45" s="756" t="s">
        <v>269</v>
      </c>
      <c r="C45" s="757"/>
      <c r="D45" s="757"/>
      <c r="E45" s="758"/>
      <c r="F45" s="759" t="s">
        <v>269</v>
      </c>
      <c r="G45" s="760"/>
      <c r="H45" s="761"/>
      <c r="I45" s="808"/>
      <c r="J45" s="251" t="s">
        <v>273</v>
      </c>
      <c r="K45" s="272"/>
    </row>
    <row r="46" spans="2:13" ht="12.75" customHeight="1">
      <c r="B46" s="259"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46" s="257"/>
      <c r="D46" s="257"/>
      <c r="E46" s="257"/>
      <c r="F46" s="257"/>
      <c r="G46" s="257"/>
      <c r="H46" s="257"/>
      <c r="I46" s="257"/>
      <c r="J46" s="258"/>
      <c r="K46" s="272"/>
    </row>
    <row r="47" spans="2:13">
      <c r="B47" s="147" t="str">
        <f>IF('Język - Language'!$B$30="Polski","- Dopłata za expand na desktop + tablet: +50% ","- Expand version of ad format for desktop + tablet with extra charge +50%")</f>
        <v xml:space="preserve">- Dopłata za expand na desktop + tablet: +50% </v>
      </c>
      <c r="C47" s="148"/>
      <c r="D47" s="148"/>
      <c r="E47" s="148"/>
      <c r="F47" s="148"/>
      <c r="G47" s="148"/>
      <c r="H47" s="148"/>
      <c r="I47" s="148"/>
      <c r="J47" s="157"/>
      <c r="K47" s="272"/>
    </row>
    <row r="48" spans="2:13">
      <c r="B48" s="147"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48" s="148"/>
      <c r="D48" s="148"/>
      <c r="E48" s="148"/>
      <c r="F48" s="148"/>
      <c r="G48" s="148"/>
      <c r="H48" s="148"/>
      <c r="I48" s="148"/>
      <c r="J48" s="157"/>
      <c r="K48" s="272"/>
    </row>
    <row r="49" spans="1:11" s="77" customFormat="1">
      <c r="B49" s="15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49" s="148"/>
      <c r="D49" s="148"/>
      <c r="E49" s="148"/>
      <c r="F49" s="148"/>
      <c r="G49" s="148"/>
      <c r="H49" s="148"/>
      <c r="I49" s="148"/>
      <c r="J49" s="157"/>
      <c r="K49" s="272"/>
    </row>
    <row r="50" spans="1:11" s="89" customFormat="1">
      <c r="B50" s="272"/>
      <c r="C50" s="55"/>
      <c r="D50" s="55"/>
      <c r="E50" s="55"/>
      <c r="F50" s="55"/>
      <c r="G50" s="55"/>
      <c r="H50" s="55"/>
      <c r="I50" s="55"/>
      <c r="J50" s="55"/>
      <c r="K50" s="55"/>
    </row>
    <row r="51" spans="1:11" s="272" customFormat="1" ht="12.75" customHeight="1">
      <c r="A51" s="270"/>
      <c r="B51" s="497"/>
      <c r="C51" s="497"/>
      <c r="D51" s="497"/>
      <c r="E51" s="497"/>
      <c r="F51" s="497"/>
      <c r="G51" s="497"/>
      <c r="H51" s="497"/>
      <c r="I51" s="497"/>
      <c r="J51" s="510"/>
    </row>
    <row r="52" spans="1:11" s="272" customFormat="1" ht="12.75" customHeight="1">
      <c r="A52" s="270"/>
      <c r="B52" s="497"/>
      <c r="C52" s="497"/>
      <c r="D52" s="497"/>
      <c r="E52" s="497"/>
      <c r="F52" s="497"/>
      <c r="G52" s="497"/>
      <c r="H52" s="497"/>
      <c r="I52" s="497"/>
      <c r="J52" s="510"/>
    </row>
    <row r="53" spans="1:11" s="272" customFormat="1" ht="25.5" customHeight="1">
      <c r="A53" s="270"/>
      <c r="B53" s="776" t="s">
        <v>204</v>
      </c>
      <c r="C53" s="776"/>
      <c r="D53" s="776"/>
      <c r="E53" s="776"/>
      <c r="F53" s="776" t="s">
        <v>205</v>
      </c>
      <c r="G53" s="776"/>
      <c r="H53" s="776"/>
      <c r="I53" s="515" t="str">
        <f>IF('Język - Language'!$B$30="Polski","CZAS EMISJI","TIME")</f>
        <v>CZAS EMISJI</v>
      </c>
      <c r="J53" s="516" t="str">
        <f>IF('Język - Language'!$B$30="Polski","CENA RC","RC PRICE")</f>
        <v>CENA RC</v>
      </c>
    </row>
    <row r="54" spans="1:11" s="272" customFormat="1" ht="25.5" customHeight="1">
      <c r="A54" s="183"/>
      <c r="B54" s="740" t="s">
        <v>207</v>
      </c>
      <c r="C54" s="741"/>
      <c r="D54" s="741"/>
      <c r="E54" s="742"/>
      <c r="F54" s="740" t="str">
        <f>IF('Język - Language'!$B$30="Polski","Banner skalowalny 3/uu / dzień","Adjusted Banner 3/uu / 24h")</f>
        <v>Banner skalowalny 3/uu / dzień</v>
      </c>
      <c r="G54" s="741"/>
      <c r="H54" s="742"/>
      <c r="I54" s="311" t="s">
        <v>208</v>
      </c>
      <c r="J54" s="508">
        <v>45000</v>
      </c>
    </row>
    <row r="55" spans="1:11" s="272" customFormat="1" ht="25.5" customHeight="1">
      <c r="A55" s="183"/>
      <c r="B55" s="746" t="s">
        <v>215</v>
      </c>
      <c r="C55" s="747"/>
      <c r="D55" s="747"/>
      <c r="E55" s="748"/>
      <c r="F55" s="746" t="str">
        <f>IF('Język - Language'!$B$30="Polski","Banner skalowalny 3/uu / dzień","Adjusted Banner 3/uu / 24h")</f>
        <v>Banner skalowalny 3/uu / dzień</v>
      </c>
      <c r="G55" s="747"/>
      <c r="H55" s="748"/>
      <c r="I55" s="512" t="s">
        <v>208</v>
      </c>
      <c r="J55" s="509">
        <v>60000</v>
      </c>
    </row>
    <row r="56" spans="1:11" s="272" customFormat="1">
      <c r="C56" s="55"/>
      <c r="D56" s="55"/>
      <c r="E56" s="55"/>
      <c r="F56" s="55"/>
      <c r="G56" s="55"/>
      <c r="H56" s="55"/>
      <c r="I56" s="55"/>
      <c r="J56" s="55"/>
      <c r="K56" s="55"/>
    </row>
    <row r="57" spans="1:11" s="272" customFormat="1"/>
    <row r="59" spans="1:11" s="272" customFormat="1" ht="12.75" customHeight="1">
      <c r="B59" s="772" t="str">
        <f>IF('Język - Language'!$B$30="Polski","PUDELEK: SG + ROS (DESKTOP/TABLET)","PUDELEK: HOMEPAGE + ROS (DESKTOP/TABLET)")</f>
        <v>PUDELEK: SG + ROS (DESKTOP/TABLET)</v>
      </c>
      <c r="C59" s="772"/>
      <c r="D59" s="772"/>
      <c r="E59" s="772"/>
      <c r="F59" s="772" t="str">
        <f>IF('Język - Language'!$B$30="Polski","PUDELEK: SG + ROS (MOBILE)¹","PUDELEK: HOMEPAGE + ROS (MOBILE)¹")</f>
        <v>PUDELEK: SG + ROS (MOBILE)¹</v>
      </c>
      <c r="G59" s="772"/>
      <c r="H59" s="772"/>
      <c r="I59" s="772" t="str">
        <f>IF('Język - Language'!$B$30="Polski","CZAS EMISJI","TIME")</f>
        <v>CZAS EMISJI</v>
      </c>
      <c r="J59" s="798" t="str">
        <f>IF('Język - Language'!$B$30="Polski","CENA RC","PRICE")</f>
        <v>CENA RC</v>
      </c>
    </row>
    <row r="60" spans="1:11" s="272" customFormat="1">
      <c r="B60" s="772"/>
      <c r="C60" s="772"/>
      <c r="D60" s="772"/>
      <c r="E60" s="772"/>
      <c r="F60" s="772"/>
      <c r="G60" s="772"/>
      <c r="H60" s="772"/>
      <c r="I60" s="772"/>
      <c r="J60" s="798"/>
    </row>
    <row r="61" spans="1:11" s="272" customFormat="1" ht="12.75" customHeight="1">
      <c r="B61" s="773" t="str">
        <f>IF('Język - Language'!$B$30="Polski","Double Billboard lub Wideboard 3/uu / dzień","Double Billboard or Wideboard 3/uu / day")</f>
        <v>Double Billboard lub Wideboard 3/uu / dzień</v>
      </c>
      <c r="C61" s="774"/>
      <c r="D61" s="774"/>
      <c r="E61" s="775"/>
      <c r="F61" s="802" t="str">
        <f>IF('Język - Language'!$B$30="Polski","Banner skalowalny 3/uu / dzień","Adjusted Banner 3/uu / day")</f>
        <v>Banner skalowalny 3/uu / dzień</v>
      </c>
      <c r="G61" s="802"/>
      <c r="H61" s="803"/>
      <c r="I61" s="807" t="str">
        <f>IF('Język - Language'!$B$30="Polski","3/uu / dzień","3/uu / 1 day")</f>
        <v>3/uu / dzień</v>
      </c>
      <c r="J61" s="170">
        <v>170000</v>
      </c>
    </row>
    <row r="62" spans="1:11" s="272" customFormat="1" ht="12.75" customHeight="1">
      <c r="B62" s="763" t="str">
        <f>IF('Język - Language'!$B$30="Polski","Screening 1/uu + DBB/Wideboard 2/uu / dzień (tablet: tylko górny format)","Screening 1/uu + DBB/Wideboard 2/uu / day (tablet:only upper banner)")</f>
        <v>Screening 1/uu + DBB/Wideboard 2/uu / dzień (tablet: tylko górny format)</v>
      </c>
      <c r="C62" s="764"/>
      <c r="D62" s="764"/>
      <c r="E62" s="765"/>
      <c r="F62" s="714" t="str">
        <f>IF('Język - Language'!$B$30="Polski","Screening/Banner skalowalny 1/uu + Banner skalowalny 2/uu / dzień","Screening/Banner skalowalny 1/uu + Adjusted Banner 2/uu / day")</f>
        <v>Screening/Banner skalowalny 1/uu + Banner skalowalny 2/uu / dzień</v>
      </c>
      <c r="G62" s="721"/>
      <c r="H62" s="715"/>
      <c r="I62" s="807"/>
      <c r="J62" s="171">
        <v>185000</v>
      </c>
    </row>
    <row r="63" spans="1:11" ht="12.75" customHeight="1">
      <c r="B63" s="763" t="str">
        <f>IF('Język - Language'!$B$30="Polski","Screening + DBB/Wideboard 3/uu / dzień (tablet: tylko górny format)","Screening + DBB/Wideboard 3/uu / day (tablet:only upper banner)")</f>
        <v>Screening + DBB/Wideboard 3/uu / dzień (tablet: tylko górny format)</v>
      </c>
      <c r="C63" s="764"/>
      <c r="D63" s="764"/>
      <c r="E63" s="765"/>
      <c r="F63" s="714" t="str">
        <f>IF('Język - Language'!$B$30="Polski","Screening/Banner skalowalny 3/uu / dzień","Screening/Adjusted Banner 3/uu / day")</f>
        <v>Screening/Banner skalowalny 3/uu / dzień</v>
      </c>
      <c r="G63" s="721"/>
      <c r="H63" s="715"/>
      <c r="I63" s="807"/>
      <c r="J63" s="171">
        <v>200000</v>
      </c>
      <c r="K63" s="272"/>
    </row>
    <row r="64" spans="1:11" s="154" customFormat="1" ht="12.75" customHeight="1">
      <c r="B64" s="756" t="str">
        <f>IF('Język - Language'!$B$30="Polski","Gigaboard 1/uu + Double Billboard/Wideboard 2/uu / dzień","Gigaboard 1/uu + Double Billboard/Wideboard 2/uu / day")</f>
        <v>Gigaboard 1/uu + Double Billboard/Wideboard 2/uu / dzień</v>
      </c>
      <c r="C64" s="757"/>
      <c r="D64" s="757"/>
      <c r="E64" s="758"/>
      <c r="F64" s="730" t="str">
        <f>IF('Język - Language'!$B$30="Polski","Banner skalowalny XL 1/uu + Banner skalowalny 2/uu / dzień","Adjusted Banner XL 1/uu + Adjusted Banner 2/uu / day")</f>
        <v>Banner skalowalny XL 1/uu + Banner skalowalny 2/uu / dzień</v>
      </c>
      <c r="G64" s="731"/>
      <c r="H64" s="732"/>
      <c r="I64" s="808"/>
      <c r="J64" s="173">
        <v>220000</v>
      </c>
      <c r="K64" s="272"/>
    </row>
    <row r="65" spans="1:18">
      <c r="A65" s="272"/>
      <c r="B65" s="153"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65" s="159"/>
      <c r="D65" s="159"/>
      <c r="E65" s="159"/>
      <c r="F65" s="159"/>
      <c r="G65" s="159"/>
      <c r="H65" s="159"/>
      <c r="I65" s="159"/>
      <c r="J65" s="162"/>
      <c r="K65" s="272"/>
      <c r="L65" s="272"/>
      <c r="M65" s="272"/>
      <c r="N65" s="272"/>
      <c r="O65" s="272"/>
      <c r="P65" s="272"/>
      <c r="Q65" s="272"/>
      <c r="R65" s="272"/>
    </row>
    <row r="66" spans="1:18" s="165" customFormat="1">
      <c r="A66" s="272"/>
      <c r="B66" s="190"/>
      <c r="C66" s="272"/>
      <c r="D66" s="272"/>
      <c r="E66" s="272"/>
      <c r="F66" s="272"/>
      <c r="G66" s="272"/>
      <c r="H66" s="272"/>
      <c r="I66" s="272"/>
      <c r="J66" s="272"/>
      <c r="K66" s="270"/>
      <c r="L66" s="272"/>
      <c r="M66" s="272"/>
      <c r="N66" s="272"/>
      <c r="O66" s="272"/>
      <c r="P66" s="272"/>
      <c r="Q66" s="272"/>
      <c r="R66" s="272"/>
    </row>
    <row r="67" spans="1:18" s="165" customFormat="1">
      <c r="A67" s="272"/>
      <c r="B67" s="190"/>
      <c r="C67" s="272"/>
      <c r="D67" s="272"/>
      <c r="E67" s="272"/>
      <c r="F67" s="272"/>
      <c r="G67" s="272"/>
      <c r="H67" s="272"/>
      <c r="I67" s="272"/>
      <c r="J67" s="272"/>
      <c r="K67" s="270"/>
      <c r="L67" s="272"/>
      <c r="M67" s="272"/>
      <c r="N67" s="272"/>
      <c r="O67" s="272"/>
      <c r="P67" s="272"/>
      <c r="Q67" s="272"/>
      <c r="R67" s="272"/>
    </row>
    <row r="68" spans="1:18" s="178" customFormat="1" ht="25.5" customHeight="1">
      <c r="A68" s="272"/>
      <c r="B68" s="779" t="s">
        <v>280</v>
      </c>
      <c r="C68" s="780"/>
      <c r="D68" s="780"/>
      <c r="E68" s="781"/>
      <c r="F68" s="779" t="s">
        <v>281</v>
      </c>
      <c r="G68" s="780"/>
      <c r="H68" s="781"/>
      <c r="I68" s="191" t="str">
        <f>IF('Język - Language'!$B$30="Polski","MODEL EMISJI","MODEL OF EMISSION")</f>
        <v>MODEL EMISJI</v>
      </c>
      <c r="J68" s="191" t="str">
        <f>IF('Język - Language'!$B$30="Polski","CENA RC","RC PRICE")</f>
        <v>CENA RC</v>
      </c>
      <c r="K68" s="272"/>
      <c r="L68" s="272"/>
      <c r="M68" s="272"/>
      <c r="N68" s="272"/>
      <c r="O68" s="272"/>
      <c r="P68" s="272"/>
      <c r="Q68" s="272"/>
      <c r="R68" s="272"/>
    </row>
    <row r="69" spans="1:18" s="178" customFormat="1">
      <c r="A69" s="183"/>
      <c r="B69" s="743" t="s">
        <v>5</v>
      </c>
      <c r="C69" s="744"/>
      <c r="D69" s="744"/>
      <c r="E69" s="745"/>
      <c r="F69" s="743" t="str">
        <f>IF('Język - Language'!$B$30="Polski","Banner skalowalny","Adjusted Banner")</f>
        <v>Banner skalowalny</v>
      </c>
      <c r="G69" s="744"/>
      <c r="H69" s="745"/>
      <c r="I69" s="724" t="str">
        <f>IF('Język - Language'!$B$30="Polski","Flat Fee / tydzień","Flat Fee / 1 week")</f>
        <v>Flat Fee / tydzień</v>
      </c>
      <c r="J69" s="181">
        <v>78000</v>
      </c>
      <c r="K69" s="272"/>
      <c r="L69" s="272"/>
      <c r="M69" s="272"/>
      <c r="N69" s="272"/>
      <c r="O69" s="272"/>
      <c r="P69" s="272"/>
      <c r="Q69" s="272"/>
      <c r="R69" s="272"/>
    </row>
    <row r="70" spans="1:18" s="165" customFormat="1">
      <c r="A70" s="183"/>
      <c r="B70" s="714" t="s">
        <v>6</v>
      </c>
      <c r="C70" s="721"/>
      <c r="D70" s="721"/>
      <c r="E70" s="715"/>
      <c r="F70" s="714" t="str">
        <f>IF('Język - Language'!$B$30="Polski","Banner skalowalny XL","Adjusted Banner XL")</f>
        <v>Banner skalowalny XL</v>
      </c>
      <c r="G70" s="721"/>
      <c r="H70" s="715"/>
      <c r="I70" s="725"/>
      <c r="J70" s="180">
        <v>105000</v>
      </c>
      <c r="K70" s="272"/>
      <c r="L70" s="272"/>
      <c r="M70" s="272"/>
      <c r="N70" s="272"/>
      <c r="O70" s="272"/>
      <c r="P70" s="272"/>
      <c r="Q70" s="272"/>
      <c r="R70" s="272"/>
    </row>
    <row r="71" spans="1:18" s="165" customFormat="1">
      <c r="A71" s="183"/>
      <c r="B71" s="714" t="s">
        <v>282</v>
      </c>
      <c r="C71" s="721"/>
      <c r="D71" s="721"/>
      <c r="E71" s="715"/>
      <c r="F71" s="714" t="str">
        <f>IF('Język - Language'!$B$30="Polski","Banner skalowalny XL","Adjusted Banner XL")</f>
        <v>Banner skalowalny XL</v>
      </c>
      <c r="G71" s="721"/>
      <c r="H71" s="715"/>
      <c r="I71" s="725"/>
      <c r="J71" s="180">
        <v>120000</v>
      </c>
      <c r="K71" s="272"/>
      <c r="L71" s="272"/>
      <c r="M71" s="272"/>
      <c r="N71" s="272"/>
      <c r="O71" s="272"/>
      <c r="P71" s="272"/>
      <c r="Q71" s="272"/>
      <c r="R71" s="272"/>
    </row>
    <row r="72" spans="1:18" s="165" customFormat="1">
      <c r="A72" s="183"/>
      <c r="B72" s="714" t="s">
        <v>7</v>
      </c>
      <c r="C72" s="721"/>
      <c r="D72" s="721"/>
      <c r="E72" s="715"/>
      <c r="F72" s="714" t="str">
        <f>IF('Język - Language'!$B$30="Polski","Rectangle nr 1","Rectangle no.1")</f>
        <v>Rectangle nr 1</v>
      </c>
      <c r="G72" s="721"/>
      <c r="H72" s="715"/>
      <c r="I72" s="725"/>
      <c r="J72" s="179">
        <v>45000</v>
      </c>
      <c r="K72" s="272"/>
      <c r="L72" s="272"/>
      <c r="M72" s="272"/>
      <c r="N72" s="272"/>
      <c r="O72" s="272"/>
      <c r="P72" s="272"/>
      <c r="Q72" s="272"/>
      <c r="R72" s="272"/>
    </row>
    <row r="73" spans="1:18" s="165" customFormat="1">
      <c r="A73" s="183"/>
      <c r="B73" s="730" t="s">
        <v>8</v>
      </c>
      <c r="C73" s="731"/>
      <c r="D73" s="731"/>
      <c r="E73" s="732"/>
      <c r="F73" s="716" t="str">
        <f>IF('Język - Language'!$B$30="Polski","Banner skalowany","Adjusted Banner")</f>
        <v>Banner skalowany</v>
      </c>
      <c r="G73" s="717"/>
      <c r="H73" s="720"/>
      <c r="I73" s="726"/>
      <c r="J73" s="321">
        <v>52000</v>
      </c>
      <c r="K73" s="272"/>
      <c r="L73" s="272"/>
      <c r="M73" s="272"/>
      <c r="N73" s="272"/>
      <c r="O73" s="272"/>
      <c r="P73" s="272"/>
      <c r="Q73" s="272"/>
      <c r="R73" s="272"/>
    </row>
    <row r="74" spans="1:18" s="165" customFormat="1">
      <c r="A74" s="272"/>
      <c r="B74" s="153" t="str">
        <f>IF('Język - Language'!$B$30="Polski","¹ dopłata do formatu 1200x200 px 25%","¹ Extra charge for 1200x200 px format +25%")</f>
        <v>¹ dopłata do formatu 1200x200 px 25%</v>
      </c>
      <c r="C74" s="159"/>
      <c r="D74" s="159"/>
      <c r="E74" s="159"/>
      <c r="F74" s="174"/>
      <c r="G74" s="174"/>
      <c r="H74" s="159"/>
      <c r="I74" s="159"/>
      <c r="J74" s="160"/>
      <c r="K74" s="272"/>
      <c r="L74" s="272"/>
      <c r="M74" s="272"/>
      <c r="N74" s="272"/>
      <c r="O74" s="272"/>
      <c r="P74" s="272"/>
      <c r="Q74" s="272"/>
      <c r="R74" s="272"/>
    </row>
    <row r="75" spans="1:18" s="165" customFormat="1">
      <c r="A75" s="272"/>
      <c r="B75" s="153" t="str">
        <f>IF('Język - Language'!$B$30="Polski","² Content Box XL +75%","² Content Box XL +75%")</f>
        <v>² Content Box XL +75%</v>
      </c>
      <c r="C75" s="159"/>
      <c r="D75" s="159"/>
      <c r="E75" s="159"/>
      <c r="F75" s="159"/>
      <c r="G75" s="159"/>
      <c r="H75" s="159"/>
      <c r="I75" s="159"/>
      <c r="J75" s="162"/>
      <c r="K75" s="272"/>
      <c r="L75" s="272"/>
      <c r="M75" s="272"/>
      <c r="N75" s="272"/>
      <c r="O75" s="272"/>
      <c r="P75" s="272"/>
      <c r="Q75" s="272"/>
      <c r="R75" s="272"/>
    </row>
    <row r="76" spans="1:18" s="182" customFormat="1">
      <c r="A76" s="272"/>
      <c r="B76" s="190"/>
      <c r="C76" s="272"/>
      <c r="D76" s="272"/>
      <c r="E76" s="272"/>
      <c r="F76" s="272"/>
      <c r="G76" s="272"/>
      <c r="H76" s="272"/>
      <c r="I76" s="272"/>
      <c r="J76" s="272"/>
      <c r="K76" s="272"/>
      <c r="L76" s="272"/>
      <c r="M76" s="272"/>
      <c r="N76" s="272"/>
      <c r="O76" s="272"/>
      <c r="P76" s="272"/>
      <c r="Q76" s="272"/>
      <c r="R76" s="272"/>
    </row>
    <row r="77" spans="1:18" s="182" customFormat="1">
      <c r="A77" s="272"/>
      <c r="B77" s="190"/>
      <c r="C77" s="272"/>
      <c r="D77" s="272"/>
      <c r="E77" s="272"/>
      <c r="F77" s="272"/>
      <c r="G77" s="272"/>
      <c r="H77" s="272"/>
      <c r="I77" s="272"/>
      <c r="J77" s="272"/>
      <c r="K77" s="272"/>
      <c r="L77" s="272"/>
      <c r="M77" s="272"/>
      <c r="N77" s="272"/>
      <c r="O77" s="272"/>
      <c r="P77" s="272"/>
      <c r="Q77" s="272"/>
      <c r="R77" s="272"/>
    </row>
    <row r="78" spans="1:18" s="182" customFormat="1" ht="25.5" customHeight="1">
      <c r="A78" s="272"/>
      <c r="B78" s="729" t="str">
        <f>IF('Język - Language'!$B$30="Polski","STRONA GŁÓWNA SPORTOWEFAKTY (DESKTOP/TABLET)","SPORTOWEFAKTY HOMEPAGE (DESKTOP/TABLET)")</f>
        <v>STRONA GŁÓWNA SPORTOWEFAKTY (DESKTOP/TABLET)</v>
      </c>
      <c r="C78" s="729"/>
      <c r="D78" s="729"/>
      <c r="E78" s="729"/>
      <c r="F78" s="729" t="str">
        <f>IF('Język - Language'!$B$30="Polski","STRONA GŁÓWNA SPORTOWEFAKTY (MOBILE)¹","SPORTOWEFAKTY HOMEPAGE (MOBILE)¹")</f>
        <v>STRONA GŁÓWNA SPORTOWEFAKTY (MOBILE)¹</v>
      </c>
      <c r="G78" s="729"/>
      <c r="H78" s="729"/>
      <c r="I78" s="302" t="str">
        <f>IF('Język - Language'!$B$30="Polski","CZAS EMISJI","TIME")</f>
        <v>CZAS EMISJI</v>
      </c>
      <c r="J78" s="205" t="str">
        <f>IF('Język - Language'!$B$30="Polski","CENA RC","RC PRICE")</f>
        <v>CENA RC</v>
      </c>
      <c r="K78" s="272"/>
      <c r="L78" s="272"/>
      <c r="M78" s="272"/>
      <c r="N78" s="272"/>
      <c r="O78" s="272"/>
      <c r="P78" s="272"/>
      <c r="Q78" s="272"/>
      <c r="R78" s="272"/>
    </row>
    <row r="79" spans="1:18" s="182" customFormat="1">
      <c r="A79" s="183"/>
      <c r="B79" s="786" t="str">
        <f>IF('Język - Language'!$B$30="Polski","Content Box","Content Box")</f>
        <v>Content Box</v>
      </c>
      <c r="C79" s="787"/>
      <c r="D79" s="787"/>
      <c r="E79" s="788"/>
      <c r="F79" s="786" t="str">
        <f>IF('Język - Language'!$B$30="Polski","Rectangle","Rectangle")</f>
        <v>Rectangle</v>
      </c>
      <c r="G79" s="787"/>
      <c r="H79" s="788"/>
      <c r="I79" s="204" t="str">
        <f>IF('Język - Language'!$B$30="Polski","Flat Fee / dzień","Flat Fee / 24 h")</f>
        <v>Flat Fee / dzień</v>
      </c>
      <c r="J79" s="177">
        <v>20000</v>
      </c>
      <c r="K79" s="272"/>
      <c r="L79" s="272"/>
      <c r="M79" s="272"/>
      <c r="N79" s="272"/>
      <c r="O79" s="272"/>
      <c r="P79" s="272"/>
      <c r="Q79" s="272"/>
      <c r="R79" s="272"/>
    </row>
    <row r="80" spans="1:18" s="182" customFormat="1">
      <c r="A80" s="183"/>
      <c r="B80" s="786"/>
      <c r="C80" s="787"/>
      <c r="D80" s="787"/>
      <c r="E80" s="788"/>
      <c r="F80" s="786"/>
      <c r="G80" s="787"/>
      <c r="H80" s="788"/>
      <c r="I80" s="312" t="str">
        <f>IF('Język - Language'!$B$30="Polski","Flat Fee / tydzień","Flat Fee / 1 week")</f>
        <v>Flat Fee / tydzień</v>
      </c>
      <c r="J80" s="176">
        <v>100000</v>
      </c>
      <c r="K80" s="272"/>
      <c r="L80" s="272"/>
      <c r="M80" s="272"/>
      <c r="N80" s="272"/>
      <c r="O80" s="272"/>
      <c r="P80" s="272"/>
      <c r="Q80" s="272"/>
      <c r="R80" s="272"/>
    </row>
    <row r="81" spans="1:18" s="182" customFormat="1" ht="25.5" customHeight="1">
      <c r="A81" s="272"/>
      <c r="B81" s="729" t="s">
        <v>9</v>
      </c>
      <c r="C81" s="729"/>
      <c r="D81" s="729"/>
      <c r="E81" s="729"/>
      <c r="F81" s="729" t="s">
        <v>10</v>
      </c>
      <c r="G81" s="729"/>
      <c r="H81" s="729"/>
      <c r="I81" s="302" t="str">
        <f>IF('Język - Language'!$B$30="Polski","CZAS EMISJI","TIME")</f>
        <v>CZAS EMISJI</v>
      </c>
      <c r="J81" s="205" t="str">
        <f>IF('Język - Language'!$B$30="Polski","CENA RC","RC PRICE")</f>
        <v>CENA RC</v>
      </c>
      <c r="K81" s="272"/>
      <c r="L81" s="272"/>
      <c r="M81" s="272"/>
      <c r="N81" s="272"/>
      <c r="O81" s="272"/>
      <c r="P81" s="272"/>
      <c r="Q81" s="272"/>
      <c r="R81" s="272"/>
    </row>
    <row r="82" spans="1:18" s="182" customFormat="1" ht="25.5" customHeight="1">
      <c r="A82" s="183"/>
      <c r="B82" s="740" t="str">
        <f>IF('Język - Language'!$B$30="Polski","Double Billboard","Double Billboard")</f>
        <v>Double Billboard</v>
      </c>
      <c r="C82" s="741"/>
      <c r="D82" s="741"/>
      <c r="E82" s="742"/>
      <c r="F82" s="740" t="str">
        <f>IF('Język - Language'!$B$30="Polski","Banner skalowalny","Adjusted Banner")</f>
        <v>Banner skalowalny</v>
      </c>
      <c r="G82" s="741"/>
      <c r="H82" s="742"/>
      <c r="I82" s="204" t="str">
        <f>IF('Język - Language'!$B$30="Polski","Flat Fee / dzień","Flat Fee / 24 h")</f>
        <v>Flat Fee / dzień</v>
      </c>
      <c r="J82" s="397">
        <v>160000</v>
      </c>
      <c r="K82" s="272"/>
      <c r="L82" s="272"/>
      <c r="M82" s="272"/>
      <c r="N82" s="272"/>
      <c r="O82" s="272"/>
      <c r="P82" s="272"/>
      <c r="Q82" s="272"/>
      <c r="R82" s="272"/>
    </row>
    <row r="83" spans="1:18" s="272" customFormat="1" ht="25.5" customHeight="1">
      <c r="A83" s="183"/>
      <c r="B83" s="740" t="s">
        <v>155</v>
      </c>
      <c r="C83" s="741"/>
      <c r="D83" s="741"/>
      <c r="E83" s="742"/>
      <c r="F83" s="749" t="s">
        <v>199</v>
      </c>
      <c r="G83" s="750"/>
      <c r="H83" s="751"/>
      <c r="I83" s="204" t="s">
        <v>157</v>
      </c>
      <c r="J83" s="398">
        <v>120000</v>
      </c>
    </row>
    <row r="84" spans="1:18" s="272" customFormat="1" ht="25.5" customHeight="1">
      <c r="A84" s="183"/>
      <c r="B84" s="746" t="s">
        <v>156</v>
      </c>
      <c r="C84" s="747"/>
      <c r="D84" s="747"/>
      <c r="E84" s="748"/>
      <c r="F84" s="752" t="s">
        <v>158</v>
      </c>
      <c r="G84" s="753"/>
      <c r="H84" s="754"/>
      <c r="I84" s="392" t="s">
        <v>157</v>
      </c>
      <c r="J84" s="391">
        <v>155000</v>
      </c>
    </row>
    <row r="85" spans="1:18" s="272" customFormat="1" ht="12.75" customHeight="1">
      <c r="A85" s="270"/>
      <c r="B85" s="279"/>
      <c r="C85" s="279"/>
      <c r="D85" s="279"/>
      <c r="E85" s="279"/>
      <c r="F85" s="279"/>
      <c r="G85" s="279"/>
      <c r="H85" s="279"/>
      <c r="I85" s="279"/>
      <c r="J85" s="282"/>
    </row>
    <row r="86" spans="1:18" s="272" customFormat="1" ht="12.75" customHeight="1">
      <c r="A86" s="270"/>
      <c r="B86" s="279"/>
      <c r="C86" s="279"/>
      <c r="D86" s="279"/>
      <c r="E86" s="279"/>
      <c r="F86" s="279"/>
      <c r="G86" s="279"/>
      <c r="H86" s="279"/>
      <c r="I86" s="279"/>
      <c r="J86" s="282"/>
    </row>
    <row r="87" spans="1:18" s="272" customFormat="1" ht="12.75" customHeight="1">
      <c r="A87" s="270"/>
      <c r="B87" s="279"/>
      <c r="C87" s="279"/>
      <c r="D87" s="279"/>
      <c r="E87" s="279"/>
      <c r="F87" s="279"/>
      <c r="G87" s="279"/>
      <c r="H87" s="279"/>
      <c r="I87" s="279"/>
      <c r="J87" s="282"/>
    </row>
    <row r="88" spans="1:18" s="272" customFormat="1" ht="25.5" customHeight="1">
      <c r="A88" s="270"/>
      <c r="B88" s="755" t="s">
        <v>11</v>
      </c>
      <c r="C88" s="755"/>
      <c r="D88" s="755"/>
      <c r="E88" s="755"/>
      <c r="F88" s="755" t="s">
        <v>96</v>
      </c>
      <c r="G88" s="755"/>
      <c r="H88" s="755"/>
      <c r="I88" s="513" t="str">
        <f>IF('Język - Language'!$B$30="Polski","CZAS EMISJI","TIME")</f>
        <v>CZAS EMISJI</v>
      </c>
      <c r="J88" s="514" t="str">
        <f>IF('Język - Language'!$B$30="Polski","CENA RC","RC PRICE")</f>
        <v>CENA RC</v>
      </c>
    </row>
    <row r="89" spans="1:18" s="272" customFormat="1" ht="12.75" customHeight="1">
      <c r="A89" s="183"/>
      <c r="B89" s="786" t="s">
        <v>206</v>
      </c>
      <c r="C89" s="787"/>
      <c r="D89" s="787"/>
      <c r="E89" s="788"/>
      <c r="F89" s="786" t="str">
        <f>IF('Język - Language'!$B$30="Polski","Banner skalowalny capp 1/uu","Adjusted Banner capp 1/uu")</f>
        <v>Banner skalowalny capp 1/uu</v>
      </c>
      <c r="G89" s="787"/>
      <c r="H89" s="788"/>
      <c r="I89" s="311" t="str">
        <f>IF('Język - Language'!$B$30="Polski","Flat Fee / dzień","Flat Fee / 24 h")</f>
        <v>Flat Fee / dzień</v>
      </c>
      <c r="J89" s="508">
        <v>25000</v>
      </c>
    </row>
    <row r="90" spans="1:18" s="272" customFormat="1" ht="12.75" customHeight="1">
      <c r="A90" s="183"/>
      <c r="B90" s="740"/>
      <c r="C90" s="741"/>
      <c r="D90" s="741"/>
      <c r="E90" s="742"/>
      <c r="F90" s="740"/>
      <c r="G90" s="741"/>
      <c r="H90" s="742"/>
      <c r="I90" s="311" t="str">
        <f>IF('Język - Language'!$B$30="Polski","Flat Fee / tydzień","Flat Fee / 1 week")</f>
        <v>Flat Fee / tydzień</v>
      </c>
      <c r="J90" s="177">
        <v>140000</v>
      </c>
    </row>
    <row r="91" spans="1:18" s="272" customFormat="1" ht="12.75" customHeight="1">
      <c r="A91" s="183"/>
      <c r="B91" s="786" t="s">
        <v>12</v>
      </c>
      <c r="C91" s="787"/>
      <c r="D91" s="787"/>
      <c r="E91" s="788"/>
      <c r="F91" s="789" t="str">
        <f>IF('Język - Language'!$B$30="Polski","Banner skalowalny capp 3/uu","Adjusted Banner capp 3/uu")</f>
        <v>Banner skalowalny capp 3/uu</v>
      </c>
      <c r="G91" s="790"/>
      <c r="H91" s="791"/>
      <c r="I91" s="283" t="str">
        <f>IF('Język - Language'!$B$30="Polski","Flat Fee / dzień","Flat Fee / 24 h")</f>
        <v>Flat Fee / dzień</v>
      </c>
      <c r="J91" s="313">
        <v>15000</v>
      </c>
    </row>
    <row r="92" spans="1:18" s="272" customFormat="1" ht="12.75" customHeight="1">
      <c r="A92" s="183"/>
      <c r="B92" s="746"/>
      <c r="C92" s="747"/>
      <c r="D92" s="747"/>
      <c r="E92" s="748"/>
      <c r="F92" s="746"/>
      <c r="G92" s="747"/>
      <c r="H92" s="748"/>
      <c r="I92" s="310" t="str">
        <f>IF('Język - Language'!$B$30="Polski","Flat Fee / tydzień","Flat Fee / 1 week")</f>
        <v>Flat Fee / tydzień</v>
      </c>
      <c r="J92" s="175">
        <v>90000</v>
      </c>
    </row>
    <row r="93" spans="1:18" s="182" customFormat="1">
      <c r="A93" s="272"/>
      <c r="B93" s="190"/>
      <c r="C93" s="272"/>
      <c r="D93" s="272"/>
      <c r="E93" s="272"/>
      <c r="F93" s="272"/>
      <c r="G93" s="272"/>
      <c r="H93" s="272"/>
      <c r="I93" s="272"/>
      <c r="J93" s="272"/>
      <c r="K93" s="272"/>
      <c r="L93" s="272"/>
      <c r="M93" s="272"/>
      <c r="N93" s="272"/>
      <c r="O93" s="272"/>
      <c r="P93" s="272"/>
      <c r="Q93" s="272"/>
      <c r="R93" s="272"/>
    </row>
    <row r="95" spans="1:18" s="63" customFormat="1" ht="25.5" customHeight="1">
      <c r="A95" s="272"/>
      <c r="B95" s="163"/>
      <c r="C95" s="727" t="str">
        <f>IF('Język - Language'!$B$30="Polski","DNIÓWKI TEMATYCZNE","DAILY THEMATIC EMISSION")</f>
        <v>DNIÓWKI TEMATYCZNE</v>
      </c>
      <c r="D95" s="727" t="str">
        <f>IF('Język - Language'!$B$30="Polski","MIEJSCE EMISJI","PLACE OF EMISSION")</f>
        <v>MIEJSCE EMISJI</v>
      </c>
      <c r="E95" s="727"/>
      <c r="F95" s="727" t="str">
        <f>IF('Język - Language'!$B$30="Polski","MODEL EMISJI","MODEL OF EMISSION")</f>
        <v>MODEL EMISJI</v>
      </c>
      <c r="G95" s="727" t="str">
        <f>IF('Język - Language'!$B$30="Polski","DOUBLE BILLBOARD LUB HALFPAGE 3/uu (DESKTOP/TABLET)","DOUBLE BILLBOARD OR HALFPAGE 3/uu (DESKTOP/TABLET)")</f>
        <v>DOUBLE BILLBOARD LUB HALFPAGE 3/uu (DESKTOP/TABLET)</v>
      </c>
      <c r="H95" s="727"/>
      <c r="I95" s="727" t="str">
        <f>IF('Język - Language'!$B$30="Polski","SCREENING 200 1/uu + DOUBLE BILLBOARD 2/uu (DESKTOP/TABLET)","SCREENING 200 1/uu + DOUBLE BILLBOARD 2/uu (DESKTOP/TABLET)")</f>
        <v>SCREENING 200 1/uu + DOUBLE BILLBOARD 2/uu (DESKTOP/TABLET)</v>
      </c>
      <c r="J95" s="733"/>
      <c r="K95" s="272"/>
      <c r="L95" s="20"/>
      <c r="M95" s="6"/>
      <c r="N95" s="28"/>
      <c r="O95" s="270"/>
      <c r="P95" s="270"/>
      <c r="Q95" s="270"/>
      <c r="R95" s="272"/>
    </row>
    <row r="96" spans="1:18" s="125" customFormat="1" ht="25.5" customHeight="1">
      <c r="A96" s="272"/>
      <c r="B96" s="164"/>
      <c r="C96" s="728"/>
      <c r="D96" s="728"/>
      <c r="E96" s="728"/>
      <c r="F96" s="728"/>
      <c r="G96" s="736" t="str">
        <f>IF('Język - Language'!$B$30="Polski","BANNER SKALOWALNY 3/uu (MOBILE)","ADJUSTED BANNER 3/uu (MOBILE)")</f>
        <v>BANNER SKALOWALNY 3/uu (MOBILE)</v>
      </c>
      <c r="H96" s="736"/>
      <c r="I96" s="736" t="str">
        <f>IF('Język - Language'!$B$30="Polski","SCREENING LUB BANNER XL 1/uu + BANNER SKALOWALNY 2/uu (MOBILE)²","SCREENING OR BANNER XL 1/uu + ADJUSTED BANNER 2/uu (MOBILE)²")</f>
        <v>SCREENING LUB BANNER XL 1/uu + BANNER SKALOWALNY 2/uu (MOBILE)²</v>
      </c>
      <c r="J96" s="737"/>
      <c r="K96" s="272"/>
      <c r="L96" s="20"/>
      <c r="M96" s="6"/>
      <c r="N96" s="28"/>
      <c r="O96" s="270"/>
      <c r="P96" s="270"/>
      <c r="Q96" s="270"/>
      <c r="R96" s="272"/>
    </row>
    <row r="97" spans="1:18" s="94" customFormat="1" ht="48" customHeight="1">
      <c r="A97" s="272"/>
      <c r="B97" s="734" t="str">
        <f>IF('Język - Language'!$B$30="Polski","Serwisy Premium","Premium Sites")</f>
        <v>Serwisy Premium</v>
      </c>
      <c r="C97" s="735"/>
      <c r="D97" s="734" t="s">
        <v>13</v>
      </c>
      <c r="E97" s="782"/>
      <c r="F97" s="166" t="str">
        <f>IF('Język - Language'!$B$30="Polski","łączny cap3xuu / dzień","cap3xuu (total 3 page views / day)")</f>
        <v>łączny cap3xuu / dzień</v>
      </c>
      <c r="G97" s="738" t="str">
        <f>IF('Język - Language'!$B$30="Polski",CONCATENATE("225 000 PLN dzień powszedni",CHAR(10),CHAR(10),"180 000 PLN dzień weekendowy"),CONCATENATE("225 000 PLN - workday",CHAR(10),CHAR(10),"180 000 PLN - weekend"))</f>
        <v>225 000 PLN dzień powszedni
180 000 PLN dzień weekendowy</v>
      </c>
      <c r="H97" s="739"/>
      <c r="I97" s="738" t="str">
        <f>IF('Język - Language'!$B$30="Polski",CONCATENATE("275 000 PLN dzień powszedni",CHAR(10),CHAR(10),"225 000 PLN dzień weekendowy"),CONCATENATE("275 000 PLN - workday",CHAR(10),CHAR(10),"225 000 PLN - weekend"))</f>
        <v>275 000 PLN dzień powszedni
225 000 PLN dzień weekendowy</v>
      </c>
      <c r="J97" s="739"/>
      <c r="K97" s="272"/>
      <c r="L97" s="19"/>
      <c r="M97" s="6"/>
      <c r="N97" s="28"/>
      <c r="O97" s="270"/>
      <c r="P97" s="270"/>
      <c r="Q97" s="270"/>
      <c r="R97" s="272"/>
    </row>
    <row r="98" spans="1:18" s="63" customFormat="1" ht="24.95" customHeight="1">
      <c r="A98" s="272"/>
      <c r="B98" s="714" t="str">
        <f>IF('Język - Language'!$B$30="Polski","Biznes","Business")</f>
        <v>Biznes</v>
      </c>
      <c r="C98" s="715"/>
      <c r="D98" s="714" t="s">
        <v>14</v>
      </c>
      <c r="E98" s="715"/>
      <c r="F98" s="318" t="str">
        <f>IF('Język - Language'!$B$30="Polski","łączny cap3xuu / dzień","cap3xuu (total 3 page views / day)")</f>
        <v>łączny cap3xuu / dzień</v>
      </c>
      <c r="G98" s="718">
        <v>180000</v>
      </c>
      <c r="H98" s="719"/>
      <c r="I98" s="718">
        <v>240000</v>
      </c>
      <c r="J98" s="719"/>
      <c r="K98" s="272"/>
      <c r="L98" s="19"/>
      <c r="M98" s="6"/>
      <c r="N98" s="28"/>
      <c r="O98" s="270"/>
      <c r="P98" s="270"/>
      <c r="Q98" s="270"/>
      <c r="R98" s="272"/>
    </row>
    <row r="99" spans="1:18" s="63" customFormat="1" ht="24.95" customHeight="1">
      <c r="B99" s="714" t="str">
        <f>IF('Język - Language'!$B$30="Polski","Wiadomości","News")</f>
        <v>Wiadomości</v>
      </c>
      <c r="C99" s="715"/>
      <c r="D99" s="714" t="s">
        <v>15</v>
      </c>
      <c r="E99" s="715"/>
      <c r="F99" s="260" t="str">
        <f>IF('Język - Language'!$B$30="Polski","łączny cap3xuu / dzień","cap3xuu (total 3 page views / day)")</f>
        <v>łączny cap3xuu / dzień</v>
      </c>
      <c r="G99" s="718">
        <v>160000</v>
      </c>
      <c r="H99" s="719"/>
      <c r="I99" s="718">
        <v>210000</v>
      </c>
      <c r="J99" s="719"/>
      <c r="K99" s="272"/>
      <c r="L99" s="19"/>
      <c r="M99" s="6"/>
      <c r="N99" s="28"/>
      <c r="O99" s="270"/>
      <c r="P99" s="270"/>
    </row>
    <row r="100" spans="1:18" s="63" customFormat="1" ht="24.95" customHeight="1">
      <c r="B100" s="714" t="str">
        <f>IF('Język - Language'!$B$30="Polski","Motoryzacja","Moto")</f>
        <v>Motoryzacja</v>
      </c>
      <c r="C100" s="715"/>
      <c r="D100" s="714" t="s">
        <v>16</v>
      </c>
      <c r="E100" s="721"/>
      <c r="F100" s="167" t="str">
        <f>IF('Język - Language'!$B$30="Polski","łączny cap3xuu / dzień","cap3xuu (total 3 page views / day)")</f>
        <v>łączny cap3xuu / dzień</v>
      </c>
      <c r="G100" s="718">
        <v>30000</v>
      </c>
      <c r="H100" s="719"/>
      <c r="I100" s="718">
        <v>40000</v>
      </c>
      <c r="J100" s="719"/>
      <c r="K100" s="272"/>
      <c r="L100" s="19"/>
      <c r="M100" s="6"/>
      <c r="N100" s="28"/>
      <c r="O100" s="270"/>
      <c r="P100" s="270"/>
    </row>
    <row r="101" spans="1:18" s="232" customFormat="1" ht="24.95" customHeight="1">
      <c r="B101" s="714" t="s">
        <v>17</v>
      </c>
      <c r="C101" s="715"/>
      <c r="D101" s="714" t="s">
        <v>18</v>
      </c>
      <c r="E101" s="715"/>
      <c r="F101" s="167" t="str">
        <f>IF('Język - Language'!$B$30="Polski","łączny cap3xuu / dzień","cap3xuu (total 3 page views / day)")</f>
        <v>łączny cap3xuu / dzień</v>
      </c>
      <c r="G101" s="718">
        <v>50000</v>
      </c>
      <c r="H101" s="719"/>
      <c r="I101" s="718">
        <v>80000</v>
      </c>
      <c r="J101" s="719"/>
      <c r="K101" s="272"/>
      <c r="L101" s="19"/>
      <c r="M101" s="6"/>
      <c r="N101" s="28"/>
      <c r="O101" s="270"/>
      <c r="P101" s="270"/>
    </row>
    <row r="102" spans="1:18" s="63" customFormat="1" ht="24.95" customHeight="1">
      <c r="B102" s="714" t="str">
        <f>IF('Język - Language'!$B$30="Polski","Kobieta","Woman")</f>
        <v>Kobieta</v>
      </c>
      <c r="C102" s="715"/>
      <c r="D102" s="714" t="s">
        <v>19</v>
      </c>
      <c r="E102" s="721"/>
      <c r="F102" s="167" t="str">
        <f>IF('Język - Language'!$B$30="Polski","łączny cap3xuu / dzień","cap3xuu (total 3 page views / day)")</f>
        <v>łączny cap3xuu / dzień</v>
      </c>
      <c r="G102" s="718">
        <v>70000</v>
      </c>
      <c r="H102" s="719"/>
      <c r="I102" s="718">
        <v>93000</v>
      </c>
      <c r="J102" s="719"/>
      <c r="K102" s="272"/>
      <c r="L102" s="19"/>
      <c r="M102" s="6"/>
      <c r="N102" s="28"/>
      <c r="O102" s="29"/>
      <c r="P102" s="5"/>
    </row>
    <row r="103" spans="1:18" s="124" customFormat="1" ht="24.95" customHeight="1">
      <c r="B103" s="714" t="str">
        <f>IF('Język - Language'!$B$30="Polski","Zdrowie ","Health")</f>
        <v xml:space="preserve">Zdrowie </v>
      </c>
      <c r="C103" s="715"/>
      <c r="D103" s="714" t="s">
        <v>20</v>
      </c>
      <c r="E103" s="721"/>
      <c r="F103" s="167" t="str">
        <f>IF('Język - Language'!$B$30="Polski","łączny cap3xuu / dzień","cap3xuu (total 3 page views / day)")</f>
        <v>łączny cap3xuu / dzień</v>
      </c>
      <c r="G103" s="718">
        <v>150000</v>
      </c>
      <c r="H103" s="719"/>
      <c r="I103" s="718">
        <v>195000</v>
      </c>
      <c r="J103" s="719"/>
      <c r="K103" s="272"/>
      <c r="L103" s="19"/>
      <c r="M103" s="6"/>
      <c r="N103" s="28"/>
      <c r="O103" s="29"/>
      <c r="P103" s="5"/>
    </row>
    <row r="104" spans="1:18" s="232" customFormat="1" ht="24.95" customHeight="1">
      <c r="B104" s="714" t="s">
        <v>22</v>
      </c>
      <c r="C104" s="715"/>
      <c r="D104" s="714" t="s">
        <v>23</v>
      </c>
      <c r="E104" s="721"/>
      <c r="F104" s="167" t="str">
        <f>IF('Język - Language'!$B$30="Polski","łączny cap3xuu / dzień","cap3xuu (total 3 page views / day)")</f>
        <v>łączny cap3xuu / dzień</v>
      </c>
      <c r="G104" s="718">
        <v>115000</v>
      </c>
      <c r="H104" s="719"/>
      <c r="I104" s="718">
        <v>150000</v>
      </c>
      <c r="J104" s="719"/>
      <c r="K104" s="272"/>
      <c r="L104" s="19"/>
      <c r="M104" s="6"/>
      <c r="N104" s="28"/>
      <c r="O104" s="270"/>
      <c r="P104" s="270"/>
    </row>
    <row r="105" spans="1:18" s="63" customFormat="1" ht="24.95" customHeight="1">
      <c r="B105" s="716" t="str">
        <f>IF('Język - Language'!$B$30="Polski","Turystyka","Travel")</f>
        <v>Turystyka</v>
      </c>
      <c r="C105" s="720"/>
      <c r="D105" s="716" t="s">
        <v>24</v>
      </c>
      <c r="E105" s="717"/>
      <c r="F105" s="168" t="str">
        <f>IF('Język - Language'!$B$30="Polski","łączny cap3xuu / dzień","cap3xuu (total 3 page views / day)")</f>
        <v>łączny cap3xuu / dzień</v>
      </c>
      <c r="G105" s="722">
        <v>20000</v>
      </c>
      <c r="H105" s="723"/>
      <c r="I105" s="722">
        <v>25000</v>
      </c>
      <c r="J105" s="723"/>
      <c r="K105" s="272"/>
      <c r="L105" s="19"/>
      <c r="M105" s="76"/>
      <c r="N105" s="270"/>
      <c r="O105" s="270"/>
      <c r="P105" s="270"/>
    </row>
    <row r="106" spans="1:18">
      <c r="B106" s="156" t="str">
        <f>IF('Język - Language'!$B$30="Polski","¹ emisja z wyłączeniem SG Pudelek","¹ emission without HP Pudelek")</f>
        <v>¹ emisja z wyłączeniem SG Pudelek</v>
      </c>
      <c r="C106" s="155"/>
      <c r="D106" s="155"/>
      <c r="E106" s="155"/>
      <c r="F106" s="155"/>
      <c r="G106" s="155"/>
      <c r="H106" s="155"/>
      <c r="I106" s="155"/>
      <c r="J106" s="161"/>
      <c r="K106" s="272"/>
      <c r="L106" s="272"/>
      <c r="M106" s="272"/>
      <c r="N106" s="272"/>
      <c r="O106" s="272"/>
      <c r="P106" s="272"/>
    </row>
    <row r="107" spans="1:18">
      <c r="B107" s="155"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07" s="159"/>
      <c r="D107" s="159"/>
      <c r="E107" s="159"/>
      <c r="F107" s="159"/>
      <c r="G107" s="159"/>
      <c r="H107" s="159"/>
      <c r="I107" s="159"/>
      <c r="J107" s="162"/>
      <c r="K107" s="272"/>
      <c r="L107" s="272"/>
      <c r="M107" s="272"/>
      <c r="N107" s="272"/>
      <c r="O107" s="272"/>
      <c r="P107" s="272"/>
    </row>
  </sheetData>
  <mergeCells count="165">
    <mergeCell ref="B37:E37"/>
    <mergeCell ref="C16:E16"/>
    <mergeCell ref="F26:H26"/>
    <mergeCell ref="C11:E11"/>
    <mergeCell ref="F13:H14"/>
    <mergeCell ref="F18:H18"/>
    <mergeCell ref="F22:H22"/>
    <mergeCell ref="C15:E15"/>
    <mergeCell ref="C24:E24"/>
    <mergeCell ref="C12:E12"/>
    <mergeCell ref="C19:E19"/>
    <mergeCell ref="B10:B17"/>
    <mergeCell ref="C18:E18"/>
    <mergeCell ref="C14:E14"/>
    <mergeCell ref="B18:B21"/>
    <mergeCell ref="C23:E23"/>
    <mergeCell ref="G1:J3"/>
    <mergeCell ref="C7:E8"/>
    <mergeCell ref="F7:H8"/>
    <mergeCell ref="C10:E10"/>
    <mergeCell ref="F28:H28"/>
    <mergeCell ref="F27:H27"/>
    <mergeCell ref="F19:H19"/>
    <mergeCell ref="C17:J17"/>
    <mergeCell ref="C22:E22"/>
    <mergeCell ref="J13:J14"/>
    <mergeCell ref="C13:E13"/>
    <mergeCell ref="I7:J7"/>
    <mergeCell ref="F9:H9"/>
    <mergeCell ref="C9:E9"/>
    <mergeCell ref="I13:I14"/>
    <mergeCell ref="F20:H20"/>
    <mergeCell ref="F12:H12"/>
    <mergeCell ref="F10:H10"/>
    <mergeCell ref="F11:H11"/>
    <mergeCell ref="C20:E20"/>
    <mergeCell ref="F15:H15"/>
    <mergeCell ref="F16:H16"/>
    <mergeCell ref="C28:E28"/>
    <mergeCell ref="I59:I60"/>
    <mergeCell ref="F63:H63"/>
    <mergeCell ref="F59:H60"/>
    <mergeCell ref="F62:H62"/>
    <mergeCell ref="J34:J35"/>
    <mergeCell ref="I34:I35"/>
    <mergeCell ref="F44:H44"/>
    <mergeCell ref="F42:H42"/>
    <mergeCell ref="F37:H37"/>
    <mergeCell ref="F39:H39"/>
    <mergeCell ref="F34:H35"/>
    <mergeCell ref="F36:H36"/>
    <mergeCell ref="F43:H43"/>
    <mergeCell ref="F61:H61"/>
    <mergeCell ref="I61:I64"/>
    <mergeCell ref="F38:H38"/>
    <mergeCell ref="F40:H41"/>
    <mergeCell ref="J40:J41"/>
    <mergeCell ref="I36:I39"/>
    <mergeCell ref="I42:I45"/>
    <mergeCell ref="I40:I41"/>
    <mergeCell ref="B68:E68"/>
    <mergeCell ref="F70:H70"/>
    <mergeCell ref="F71:H71"/>
    <mergeCell ref="F68:H68"/>
    <mergeCell ref="B70:E70"/>
    <mergeCell ref="B44:E44"/>
    <mergeCell ref="D97:E97"/>
    <mergeCell ref="C21:J21"/>
    <mergeCell ref="B79:E80"/>
    <mergeCell ref="F88:H88"/>
    <mergeCell ref="B91:E92"/>
    <mergeCell ref="B89:E90"/>
    <mergeCell ref="F89:H90"/>
    <mergeCell ref="F91:H92"/>
    <mergeCell ref="F78:H78"/>
    <mergeCell ref="F64:H64"/>
    <mergeCell ref="B39:E39"/>
    <mergeCell ref="F24:H24"/>
    <mergeCell ref="F79:H80"/>
    <mergeCell ref="C25:E25"/>
    <mergeCell ref="C26:E26"/>
    <mergeCell ref="F23:H23"/>
    <mergeCell ref="F73:H73"/>
    <mergeCell ref="J59:J60"/>
    <mergeCell ref="B64:E64"/>
    <mergeCell ref="F45:H45"/>
    <mergeCell ref="B22:B28"/>
    <mergeCell ref="B36:E36"/>
    <mergeCell ref="B42:E42"/>
    <mergeCell ref="F25:H25"/>
    <mergeCell ref="B59:E60"/>
    <mergeCell ref="B62:E62"/>
    <mergeCell ref="B45:E45"/>
    <mergeCell ref="B63:E63"/>
    <mergeCell ref="B61:E61"/>
    <mergeCell ref="B53:E53"/>
    <mergeCell ref="F53:H53"/>
    <mergeCell ref="B55:E55"/>
    <mergeCell ref="F55:H55"/>
    <mergeCell ref="B54:E54"/>
    <mergeCell ref="F54:H54"/>
    <mergeCell ref="B38:E38"/>
    <mergeCell ref="B40:E41"/>
    <mergeCell ref="B43:E43"/>
    <mergeCell ref="C27:E27"/>
    <mergeCell ref="B34:E35"/>
    <mergeCell ref="I99:J99"/>
    <mergeCell ref="D100:E100"/>
    <mergeCell ref="I98:J98"/>
    <mergeCell ref="F83:H83"/>
    <mergeCell ref="F84:H84"/>
    <mergeCell ref="I100:J100"/>
    <mergeCell ref="G98:H98"/>
    <mergeCell ref="G99:H99"/>
    <mergeCell ref="G100:H100"/>
    <mergeCell ref="B88:E88"/>
    <mergeCell ref="G97:H97"/>
    <mergeCell ref="B82:E82"/>
    <mergeCell ref="C95:C96"/>
    <mergeCell ref="B83:E83"/>
    <mergeCell ref="B84:E84"/>
    <mergeCell ref="B101:C101"/>
    <mergeCell ref="D101:E101"/>
    <mergeCell ref="B100:C100"/>
    <mergeCell ref="B99:C99"/>
    <mergeCell ref="B98:C98"/>
    <mergeCell ref="D98:E98"/>
    <mergeCell ref="G101:H101"/>
    <mergeCell ref="I101:J101"/>
    <mergeCell ref="D104:E104"/>
    <mergeCell ref="G104:H104"/>
    <mergeCell ref="I69:I73"/>
    <mergeCell ref="F95:F96"/>
    <mergeCell ref="B72:E72"/>
    <mergeCell ref="B78:E78"/>
    <mergeCell ref="B73:E73"/>
    <mergeCell ref="B81:E81"/>
    <mergeCell ref="F72:H72"/>
    <mergeCell ref="D95:E96"/>
    <mergeCell ref="D99:E99"/>
    <mergeCell ref="I95:J95"/>
    <mergeCell ref="B97:C97"/>
    <mergeCell ref="I96:J96"/>
    <mergeCell ref="I97:J97"/>
    <mergeCell ref="G96:H96"/>
    <mergeCell ref="F82:H82"/>
    <mergeCell ref="F81:H81"/>
    <mergeCell ref="F69:H69"/>
    <mergeCell ref="B69:E69"/>
    <mergeCell ref="G95:H95"/>
    <mergeCell ref="B71:E71"/>
    <mergeCell ref="B102:C102"/>
    <mergeCell ref="D105:E105"/>
    <mergeCell ref="G103:H103"/>
    <mergeCell ref="I102:J102"/>
    <mergeCell ref="B105:C105"/>
    <mergeCell ref="B103:C103"/>
    <mergeCell ref="B104:C104"/>
    <mergeCell ref="D103:E103"/>
    <mergeCell ref="D102:E102"/>
    <mergeCell ref="G105:H105"/>
    <mergeCell ref="I103:J103"/>
    <mergeCell ref="G102:H102"/>
    <mergeCell ref="I105:J105"/>
    <mergeCell ref="I104:J104"/>
  </mergeCells>
  <pageMargins left="0.7" right="0.7" top="0.75" bottom="0.75" header="0.3" footer="0.3"/>
  <pageSetup paperSize="256" orientation="landscape" r:id="rId1"/>
  <ignoredErrors>
    <ignoredError sqref="F9 I90:I91"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T70"/>
  <sheetViews>
    <sheetView zoomScaleNormal="100" workbookViewId="0">
      <pane ySplit="4" topLeftCell="A5" activePane="bottomLeft" state="frozen"/>
      <selection pane="bottomLeft"/>
    </sheetView>
  </sheetViews>
  <sheetFormatPr defaultColWidth="9.140625" defaultRowHeight="15"/>
  <cols>
    <col min="1" max="2" width="2.85546875" style="273" customWidth="1"/>
    <col min="3" max="3" width="15.7109375" style="273" customWidth="1"/>
    <col min="4" max="4" width="23.5703125" style="273" customWidth="1"/>
    <col min="5" max="5" width="21.42578125" style="273" customWidth="1"/>
    <col min="6" max="13" width="10.7109375" style="273" customWidth="1"/>
    <col min="14" max="14" width="21.42578125" style="273" customWidth="1"/>
    <col min="15" max="17" width="10.7109375" style="273" customWidth="1"/>
    <col min="18" max="18" width="22.85546875" style="273" customWidth="1"/>
    <col min="19" max="19" width="14.28515625" style="273" customWidth="1"/>
    <col min="20" max="16384" width="9.140625" style="273"/>
  </cols>
  <sheetData>
    <row r="1" spans="1:20" ht="12.75" customHeight="1">
      <c r="A1" s="273" t="s">
        <v>171</v>
      </c>
      <c r="F1" s="274"/>
      <c r="G1" s="274"/>
      <c r="I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J1" s="697"/>
      <c r="K1" s="697"/>
      <c r="L1" s="697"/>
      <c r="M1" s="697"/>
      <c r="N1" s="697"/>
      <c r="O1" s="274"/>
      <c r="P1" s="274"/>
      <c r="Q1" s="274"/>
      <c r="R1" s="274"/>
    </row>
    <row r="2" spans="1:20" ht="12.75" customHeight="1">
      <c r="E2" s="274"/>
      <c r="F2" s="274"/>
      <c r="G2" s="274"/>
      <c r="H2" s="274"/>
      <c r="I2" s="697"/>
      <c r="J2" s="697"/>
      <c r="K2" s="697"/>
      <c r="L2" s="697"/>
      <c r="M2" s="697"/>
      <c r="N2" s="697"/>
      <c r="O2" s="274"/>
      <c r="P2" s="274"/>
      <c r="Q2" s="274"/>
      <c r="R2" s="274"/>
    </row>
    <row r="3" spans="1:20" ht="12.75" customHeight="1">
      <c r="E3" s="274"/>
      <c r="F3" s="274"/>
      <c r="G3" s="274"/>
      <c r="H3" s="274"/>
      <c r="I3" s="697"/>
      <c r="J3" s="697"/>
      <c r="K3" s="697"/>
      <c r="L3" s="697"/>
      <c r="M3" s="697"/>
      <c r="N3" s="697"/>
      <c r="O3" s="274"/>
      <c r="P3" s="274"/>
      <c r="Q3" s="274"/>
      <c r="R3" s="274"/>
    </row>
    <row r="4" spans="1:20" s="284" customFormat="1" ht="12.75" customHeight="1">
      <c r="C4" s="285" t="str">
        <f>IF('Język - Language'!$B$30="Polski","            Reklama mobilna","            Mobile Advertising")</f>
        <v xml:space="preserve">            Reklama mobilna</v>
      </c>
      <c r="D4" s="285"/>
      <c r="R4" s="269" t="str">
        <f>IF('Język - Language'!$B$30="Polski","PL","EN")</f>
        <v>PL</v>
      </c>
    </row>
    <row r="5" spans="1:20" ht="12.75" customHeight="1"/>
    <row r="6" spans="1:20" ht="12.75" customHeight="1"/>
    <row r="7" spans="1:20" ht="12.75" customHeight="1">
      <c r="C7" s="292" t="str">
        <f>IF('Język - Language'!$B$30="Polski","DNIÓWKI","DAILY EMISSION")</f>
        <v>DNIÓWKI</v>
      </c>
    </row>
    <row r="8" spans="1:20" ht="12.75" customHeight="1">
      <c r="C8" s="864" t="str">
        <f>IF('Język - Language'!$B$30="Polski","MIEJSCE EMISJI","PLACE OF EMISSION")</f>
        <v>MIEJSCE EMISJI</v>
      </c>
      <c r="D8" s="864"/>
      <c r="E8" s="867" t="s">
        <v>198</v>
      </c>
      <c r="F8" s="867" t="s">
        <v>200</v>
      </c>
      <c r="G8" s="867"/>
      <c r="H8" s="867" t="s">
        <v>200</v>
      </c>
      <c r="I8" s="867"/>
      <c r="J8" s="867" t="s">
        <v>241</v>
      </c>
      <c r="K8" s="867"/>
      <c r="L8" s="867" t="s">
        <v>287</v>
      </c>
      <c r="M8" s="867"/>
      <c r="N8" s="478" t="s">
        <v>196</v>
      </c>
      <c r="O8" s="367"/>
      <c r="P8" s="367"/>
      <c r="Q8" s="367"/>
    </row>
    <row r="9" spans="1:20" ht="12.75" customHeight="1">
      <c r="C9" s="864"/>
      <c r="D9" s="864"/>
      <c r="E9" s="867"/>
      <c r="F9" s="868" t="s">
        <v>194</v>
      </c>
      <c r="G9" s="868"/>
      <c r="H9" s="868" t="s">
        <v>195</v>
      </c>
      <c r="I9" s="868"/>
      <c r="J9" s="868" t="s">
        <v>246</v>
      </c>
      <c r="K9" s="868"/>
      <c r="L9" s="868" t="s">
        <v>246</v>
      </c>
      <c r="M9" s="868"/>
      <c r="N9" s="482" t="s">
        <v>197</v>
      </c>
      <c r="O9" s="367"/>
      <c r="P9" s="367"/>
      <c r="Q9" s="367"/>
    </row>
    <row r="10" spans="1:20" ht="12.75" customHeight="1">
      <c r="C10" s="864"/>
      <c r="D10" s="864"/>
      <c r="E10" s="463" t="s">
        <v>188</v>
      </c>
      <c r="F10" s="867" t="s">
        <v>193</v>
      </c>
      <c r="G10" s="867"/>
      <c r="H10" s="867" t="s">
        <v>187</v>
      </c>
      <c r="I10" s="867"/>
      <c r="J10" s="867" t="s">
        <v>247</v>
      </c>
      <c r="K10" s="867"/>
      <c r="L10" s="867" t="s">
        <v>247</v>
      </c>
      <c r="M10" s="867"/>
      <c r="N10" s="469" t="s">
        <v>170</v>
      </c>
      <c r="O10" s="368"/>
      <c r="P10" s="368"/>
      <c r="Q10" s="368"/>
    </row>
    <row r="11" spans="1:20" ht="12.75" customHeight="1">
      <c r="B11" s="286"/>
      <c r="C11" s="865" t="str">
        <f>'Desktop Flat Fee'!C9</f>
        <v>WP</v>
      </c>
      <c r="D11" s="366" t="str">
        <f>IF('Język - Language'!$B$30="Polski","styczeń-wrzesień","Jan-Sep")</f>
        <v>styczeń-wrzesień</v>
      </c>
      <c r="E11" s="471">
        <v>200000</v>
      </c>
      <c r="F11" s="852">
        <v>180000</v>
      </c>
      <c r="G11" s="853"/>
      <c r="H11" s="852">
        <v>80000</v>
      </c>
      <c r="I11" s="853"/>
      <c r="J11" s="852" t="s">
        <v>55</v>
      </c>
      <c r="K11" s="853"/>
      <c r="L11" s="852" t="s">
        <v>55</v>
      </c>
      <c r="M11" s="853"/>
      <c r="N11" s="471">
        <v>180000</v>
      </c>
      <c r="O11" s="408"/>
      <c r="P11" s="408"/>
      <c r="Q11" s="408"/>
    </row>
    <row r="12" spans="1:20" ht="12.75" customHeight="1">
      <c r="B12" s="16"/>
      <c r="C12" s="866"/>
      <c r="D12" s="311" t="str">
        <f>IF('Język - Language'!$B$30="Polski","październik-grudzień","Oct-Dec")</f>
        <v>październik-grudzień</v>
      </c>
      <c r="E12" s="477">
        <v>230000</v>
      </c>
      <c r="F12" s="842">
        <v>210000</v>
      </c>
      <c r="G12" s="843"/>
      <c r="H12" s="842">
        <v>110000</v>
      </c>
      <c r="I12" s="843"/>
      <c r="J12" s="842"/>
      <c r="K12" s="843"/>
      <c r="L12" s="842"/>
      <c r="M12" s="843"/>
      <c r="N12" s="477">
        <v>220000</v>
      </c>
      <c r="O12" s="373"/>
      <c r="P12" s="373"/>
      <c r="Q12" s="373"/>
    </row>
    <row r="13" spans="1:20" ht="25.5" customHeight="1">
      <c r="B13" s="286"/>
      <c r="C13" s="866" t="s">
        <v>27</v>
      </c>
      <c r="D13" s="883"/>
      <c r="E13" s="467">
        <v>120000</v>
      </c>
      <c r="F13" s="861">
        <v>70000</v>
      </c>
      <c r="G13" s="873"/>
      <c r="H13" s="861">
        <v>40000</v>
      </c>
      <c r="I13" s="873"/>
      <c r="J13" s="861" t="s">
        <v>55</v>
      </c>
      <c r="K13" s="873"/>
      <c r="L13" s="861" t="s">
        <v>55</v>
      </c>
      <c r="M13" s="873"/>
      <c r="N13" s="474">
        <v>150000</v>
      </c>
      <c r="O13" s="473"/>
      <c r="P13" s="880"/>
      <c r="Q13" s="880"/>
      <c r="R13" s="880"/>
      <c r="S13" s="880"/>
    </row>
    <row r="14" spans="1:20" ht="25.5" customHeight="1">
      <c r="B14" s="286"/>
      <c r="C14" s="876" t="s">
        <v>254</v>
      </c>
      <c r="D14" s="877"/>
      <c r="E14" s="470">
        <v>48000</v>
      </c>
      <c r="F14" s="861" t="s">
        <v>55</v>
      </c>
      <c r="G14" s="873"/>
      <c r="H14" s="861" t="s">
        <v>55</v>
      </c>
      <c r="I14" s="873"/>
      <c r="J14" s="861" t="s">
        <v>55</v>
      </c>
      <c r="K14" s="873"/>
      <c r="L14" s="861" t="s">
        <v>55</v>
      </c>
      <c r="M14" s="873"/>
      <c r="N14" s="476">
        <v>85000</v>
      </c>
      <c r="O14" s="473"/>
      <c r="P14" s="880"/>
      <c r="Q14" s="880"/>
      <c r="R14" s="880"/>
      <c r="S14" s="880"/>
    </row>
    <row r="15" spans="1:20" ht="12.75" customHeight="1">
      <c r="B15" s="286"/>
      <c r="C15" s="865" t="s">
        <v>36</v>
      </c>
      <c r="D15" s="366" t="str">
        <f>IF('Język - Language'!$B$30="Polski","styczeń-wrzesień","Jan-Sep")</f>
        <v>styczeń-wrzesień</v>
      </c>
      <c r="E15" s="882">
        <v>150000</v>
      </c>
      <c r="F15" s="890">
        <v>80000</v>
      </c>
      <c r="G15" s="891"/>
      <c r="H15" s="890">
        <v>40000</v>
      </c>
      <c r="I15" s="891"/>
      <c r="J15" s="890" t="s">
        <v>55</v>
      </c>
      <c r="K15" s="891"/>
      <c r="L15" s="890" t="s">
        <v>55</v>
      </c>
      <c r="M15" s="891"/>
      <c r="N15" s="882">
        <v>185000</v>
      </c>
      <c r="O15" s="473"/>
      <c r="P15" s="880"/>
      <c r="Q15" s="880"/>
      <c r="R15" s="880"/>
      <c r="S15" s="880"/>
      <c r="T15" s="16"/>
    </row>
    <row r="16" spans="1:20" ht="12.75" customHeight="1">
      <c r="B16" s="286"/>
      <c r="C16" s="866"/>
      <c r="D16" s="311" t="str">
        <f>IF('Język - Language'!$B$30="Polski","październik-grudzień","Oct-Dec")</f>
        <v>październik-grudzień</v>
      </c>
      <c r="E16" s="854"/>
      <c r="F16" s="842">
        <v>100000</v>
      </c>
      <c r="G16" s="843"/>
      <c r="H16" s="842">
        <v>50000</v>
      </c>
      <c r="I16" s="843"/>
      <c r="J16" s="842"/>
      <c r="K16" s="843"/>
      <c r="L16" s="842"/>
      <c r="M16" s="843"/>
      <c r="N16" s="854"/>
      <c r="O16" s="473"/>
      <c r="P16" s="473"/>
      <c r="Q16" s="473"/>
      <c r="R16" s="473"/>
      <c r="S16" s="473"/>
      <c r="T16" s="16"/>
    </row>
    <row r="17" spans="2:19" ht="25.5" customHeight="1">
      <c r="B17" s="286"/>
      <c r="C17" s="866" t="s">
        <v>41</v>
      </c>
      <c r="D17" s="883"/>
      <c r="E17" s="470">
        <v>35000</v>
      </c>
      <c r="F17" s="861" t="s">
        <v>55</v>
      </c>
      <c r="G17" s="873"/>
      <c r="H17" s="861" t="s">
        <v>55</v>
      </c>
      <c r="I17" s="873"/>
      <c r="J17" s="861" t="s">
        <v>55</v>
      </c>
      <c r="K17" s="873"/>
      <c r="L17" s="861" t="s">
        <v>55</v>
      </c>
      <c r="M17" s="873"/>
      <c r="N17" s="474" t="s">
        <v>55</v>
      </c>
      <c r="O17" s="473"/>
      <c r="P17" s="880"/>
      <c r="Q17" s="880"/>
      <c r="R17" s="880"/>
      <c r="S17" s="880"/>
    </row>
    <row r="18" spans="2:19" s="495" customFormat="1" ht="25.5" customHeight="1">
      <c r="B18" s="286"/>
      <c r="C18" s="876" t="s">
        <v>275</v>
      </c>
      <c r="D18" s="877"/>
      <c r="E18" s="664" t="s">
        <v>55</v>
      </c>
      <c r="F18" s="861">
        <v>65000</v>
      </c>
      <c r="G18" s="873"/>
      <c r="H18" s="861" t="s">
        <v>55</v>
      </c>
      <c r="I18" s="873"/>
      <c r="J18" s="861" t="s">
        <v>55</v>
      </c>
      <c r="K18" s="873"/>
      <c r="L18" s="861" t="s">
        <v>55</v>
      </c>
      <c r="M18" s="873"/>
      <c r="N18" s="665" t="s">
        <v>55</v>
      </c>
      <c r="O18" s="666"/>
      <c r="P18" s="666"/>
      <c r="Q18" s="666"/>
      <c r="R18" s="666"/>
      <c r="S18" s="666"/>
    </row>
    <row r="19" spans="2:19" s="495" customFormat="1" ht="25.5" customHeight="1">
      <c r="B19" s="286"/>
      <c r="C19" s="876" t="s">
        <v>245</v>
      </c>
      <c r="D19" s="877"/>
      <c r="E19" s="608">
        <v>50000</v>
      </c>
      <c r="F19" s="861" t="s">
        <v>55</v>
      </c>
      <c r="G19" s="873"/>
      <c r="H19" s="861" t="s">
        <v>55</v>
      </c>
      <c r="I19" s="873"/>
      <c r="J19" s="861">
        <v>75000</v>
      </c>
      <c r="K19" s="873"/>
      <c r="L19" s="861">
        <v>95000</v>
      </c>
      <c r="M19" s="873"/>
      <c r="N19" s="476" t="s">
        <v>55</v>
      </c>
      <c r="O19" s="606"/>
      <c r="P19" s="606"/>
      <c r="Q19" s="606"/>
      <c r="R19" s="606"/>
      <c r="S19" s="606"/>
    </row>
    <row r="20" spans="2:19" ht="25.5" customHeight="1">
      <c r="B20" s="286"/>
      <c r="C20" s="871" t="s">
        <v>123</v>
      </c>
      <c r="D20" s="881"/>
      <c r="E20" s="468">
        <v>165000</v>
      </c>
      <c r="F20" s="844" t="s">
        <v>55</v>
      </c>
      <c r="G20" s="845"/>
      <c r="H20" s="844" t="s">
        <v>55</v>
      </c>
      <c r="I20" s="845"/>
      <c r="J20" s="844" t="s">
        <v>55</v>
      </c>
      <c r="K20" s="845"/>
      <c r="L20" s="844" t="s">
        <v>55</v>
      </c>
      <c r="M20" s="845"/>
      <c r="N20" s="472">
        <v>314000</v>
      </c>
      <c r="O20" s="376"/>
      <c r="P20" s="473"/>
      <c r="Q20" s="473"/>
    </row>
    <row r="21" spans="2:19" ht="12.75" customHeight="1">
      <c r="B21" s="16"/>
      <c r="C21" s="277" t="s">
        <v>224</v>
      </c>
      <c r="D21" s="279"/>
      <c r="E21" s="377"/>
      <c r="F21" s="377"/>
      <c r="G21" s="377"/>
      <c r="H21" s="377"/>
      <c r="I21" s="377"/>
      <c r="J21" s="377"/>
      <c r="K21" s="481"/>
      <c r="L21" s="473"/>
      <c r="M21" s="481"/>
      <c r="N21" s="373"/>
      <c r="O21" s="373"/>
      <c r="P21" s="373"/>
      <c r="Q21" s="373"/>
    </row>
    <row r="22" spans="2:19" ht="12.75" customHeight="1">
      <c r="B22" s="16"/>
      <c r="C22" s="277" t="s">
        <v>225</v>
      </c>
      <c r="D22" s="279"/>
      <c r="E22" s="413"/>
      <c r="F22" s="413"/>
      <c r="G22" s="481"/>
      <c r="H22" s="413"/>
      <c r="I22" s="481"/>
      <c r="J22" s="413"/>
      <c r="K22" s="481"/>
      <c r="L22" s="413"/>
      <c r="M22" s="481"/>
      <c r="N22" s="373"/>
      <c r="O22" s="373"/>
      <c r="P22" s="373"/>
      <c r="Q22" s="373"/>
    </row>
    <row r="23" spans="2:19" ht="12.75" customHeight="1">
      <c r="B23" s="16"/>
      <c r="C23" s="277" t="s">
        <v>192</v>
      </c>
      <c r="D23" s="279"/>
      <c r="E23" s="465"/>
      <c r="F23" s="465"/>
      <c r="G23" s="481"/>
      <c r="H23" s="465"/>
      <c r="I23" s="481"/>
      <c r="J23" s="465"/>
      <c r="K23" s="481"/>
      <c r="L23" s="465"/>
      <c r="M23" s="481"/>
      <c r="N23" s="373"/>
      <c r="O23" s="373"/>
      <c r="P23" s="373"/>
      <c r="Q23" s="373"/>
    </row>
    <row r="24" spans="2:19" ht="12.75" customHeight="1">
      <c r="B24" s="16"/>
      <c r="C24" s="277" t="s">
        <v>226</v>
      </c>
      <c r="D24" s="279"/>
      <c r="E24" s="473"/>
      <c r="F24" s="473"/>
      <c r="G24" s="481"/>
      <c r="H24" s="473"/>
      <c r="I24" s="481"/>
      <c r="J24" s="473"/>
      <c r="K24" s="481"/>
      <c r="L24" s="473"/>
      <c r="M24" s="481"/>
      <c r="N24" s="373"/>
      <c r="O24" s="373"/>
      <c r="P24" s="373"/>
      <c r="Q24" s="373"/>
    </row>
    <row r="25" spans="2:19" ht="12.75" customHeight="1">
      <c r="B25" s="16"/>
      <c r="C25" s="277"/>
      <c r="D25" s="279"/>
      <c r="E25" s="413"/>
      <c r="F25" s="413"/>
      <c r="G25" s="481"/>
      <c r="H25" s="413"/>
      <c r="I25" s="481"/>
      <c r="J25" s="413"/>
      <c r="K25" s="481"/>
      <c r="L25" s="413"/>
      <c r="M25" s="481"/>
      <c r="N25" s="373"/>
      <c r="O25" s="373"/>
      <c r="P25" s="373"/>
      <c r="Q25" s="373"/>
    </row>
    <row r="26" spans="2:19" ht="12.75" customHeight="1">
      <c r="B26" s="16"/>
      <c r="C26" s="291"/>
      <c r="D26" s="279"/>
      <c r="E26" s="403"/>
      <c r="F26" s="403"/>
      <c r="G26" s="481"/>
      <c r="H26" s="403"/>
      <c r="I26" s="481"/>
      <c r="J26" s="403"/>
      <c r="K26" s="481"/>
      <c r="L26" s="403"/>
      <c r="M26" s="481"/>
      <c r="N26" s="373"/>
      <c r="O26" s="373"/>
      <c r="P26" s="373"/>
      <c r="Q26" s="373"/>
    </row>
    <row r="27" spans="2:19" ht="12.75" customHeight="1">
      <c r="B27" s="16"/>
      <c r="C27" s="291" t="s">
        <v>163</v>
      </c>
      <c r="D27" s="279"/>
      <c r="E27" s="403"/>
      <c r="F27" s="403"/>
      <c r="G27" s="481"/>
      <c r="H27" s="403"/>
      <c r="I27" s="481"/>
      <c r="J27" s="403"/>
      <c r="K27" s="481"/>
      <c r="L27" s="403"/>
      <c r="M27" s="481"/>
      <c r="N27" s="373"/>
      <c r="O27" s="373"/>
      <c r="P27" s="373"/>
      <c r="Q27" s="373"/>
    </row>
    <row r="28" spans="2:19" ht="25.5" customHeight="1">
      <c r="C28" s="864" t="str">
        <f>IF('Język - Language'!$B$30="Polski","MIEJSCE EMISJI","PLACE OF EMISSION")</f>
        <v>MIEJSCE EMISJI</v>
      </c>
      <c r="D28" s="864"/>
      <c r="E28" s="901" t="s">
        <v>165</v>
      </c>
      <c r="F28" s="901"/>
      <c r="G28" s="902"/>
      <c r="H28" s="373"/>
      <c r="I28" s="373"/>
      <c r="J28" s="373"/>
      <c r="K28" s="367"/>
      <c r="L28" s="367"/>
      <c r="M28" s="367"/>
      <c r="N28" s="367"/>
    </row>
    <row r="29" spans="2:19" ht="12.75" customHeight="1">
      <c r="C29" s="864"/>
      <c r="D29" s="864"/>
      <c r="E29" s="610" t="s">
        <v>189</v>
      </c>
      <c r="F29" s="901" t="s">
        <v>190</v>
      </c>
      <c r="G29" s="902"/>
      <c r="H29" s="373"/>
      <c r="I29" s="373"/>
      <c r="J29" s="373"/>
      <c r="K29" s="368"/>
      <c r="L29" s="368"/>
      <c r="M29" s="368"/>
      <c r="N29" s="368"/>
    </row>
    <row r="30" spans="2:19" ht="12.75" customHeight="1">
      <c r="B30" s="286"/>
      <c r="C30" s="865" t="s">
        <v>26</v>
      </c>
      <c r="D30" s="366" t="s">
        <v>164</v>
      </c>
      <c r="E30" s="648">
        <v>4000</v>
      </c>
      <c r="F30" s="897">
        <v>24000</v>
      </c>
      <c r="G30" s="898"/>
      <c r="H30" s="282"/>
      <c r="I30" s="403"/>
      <c r="J30" s="481"/>
      <c r="K30" s="896"/>
      <c r="L30" s="896"/>
      <c r="M30" s="896"/>
      <c r="N30" s="896"/>
    </row>
    <row r="31" spans="2:19" ht="12.75" customHeight="1">
      <c r="B31" s="16"/>
      <c r="C31" s="865"/>
      <c r="D31" s="366" t="s">
        <v>45</v>
      </c>
      <c r="E31" s="648">
        <v>2500</v>
      </c>
      <c r="F31" s="897">
        <v>15000</v>
      </c>
      <c r="G31" s="898"/>
      <c r="H31" s="282"/>
      <c r="I31" s="403"/>
      <c r="J31" s="481"/>
      <c r="K31" s="373"/>
      <c r="L31" s="373"/>
      <c r="M31" s="373"/>
      <c r="N31" s="373"/>
    </row>
    <row r="32" spans="2:19" ht="12.75" customHeight="1">
      <c r="B32" s="16"/>
      <c r="C32" s="865"/>
      <c r="D32" s="366" t="s">
        <v>166</v>
      </c>
      <c r="E32" s="648">
        <v>2500</v>
      </c>
      <c r="F32" s="897">
        <v>15000</v>
      </c>
      <c r="G32" s="898"/>
      <c r="H32" s="282"/>
      <c r="I32" s="403"/>
      <c r="J32" s="481"/>
      <c r="K32" s="373"/>
      <c r="L32" s="373"/>
      <c r="M32" s="373"/>
      <c r="N32" s="373"/>
    </row>
    <row r="33" spans="2:17" ht="12.75" customHeight="1">
      <c r="B33" s="16"/>
      <c r="C33" s="865"/>
      <c r="D33" s="366" t="s">
        <v>167</v>
      </c>
      <c r="E33" s="648">
        <v>1500</v>
      </c>
      <c r="F33" s="897">
        <v>9000</v>
      </c>
      <c r="G33" s="898"/>
      <c r="H33" s="282"/>
      <c r="I33" s="403"/>
      <c r="J33" s="481"/>
      <c r="K33" s="373"/>
      <c r="L33" s="373"/>
      <c r="M33" s="373"/>
      <c r="N33" s="373"/>
    </row>
    <row r="34" spans="2:17" ht="12.75" customHeight="1">
      <c r="B34" s="16"/>
      <c r="C34" s="865"/>
      <c r="D34" s="366" t="s">
        <v>168</v>
      </c>
      <c r="E34" s="648">
        <v>1500</v>
      </c>
      <c r="F34" s="897">
        <v>9000</v>
      </c>
      <c r="G34" s="898"/>
      <c r="H34" s="282"/>
      <c r="I34" s="403"/>
      <c r="J34" s="481"/>
      <c r="K34" s="373"/>
      <c r="L34" s="373"/>
      <c r="M34" s="373"/>
      <c r="N34" s="373"/>
    </row>
    <row r="35" spans="2:17" ht="12.75" customHeight="1">
      <c r="B35" s="16"/>
      <c r="C35" s="871"/>
      <c r="D35" s="310" t="s">
        <v>169</v>
      </c>
      <c r="E35" s="649">
        <v>1500</v>
      </c>
      <c r="F35" s="899">
        <v>9000</v>
      </c>
      <c r="G35" s="900"/>
      <c r="H35" s="479"/>
      <c r="I35" s="481"/>
      <c r="J35" s="481"/>
      <c r="K35" s="373"/>
      <c r="L35" s="373"/>
      <c r="M35" s="373"/>
      <c r="N35" s="373"/>
    </row>
    <row r="36" spans="2:17" ht="15" customHeight="1">
      <c r="B36" s="16"/>
      <c r="C36" s="291"/>
      <c r="D36" s="279"/>
      <c r="E36" s="403"/>
      <c r="F36" s="403"/>
      <c r="G36" s="481"/>
      <c r="H36" s="403"/>
      <c r="I36" s="481"/>
      <c r="J36" s="403"/>
      <c r="K36" s="481"/>
      <c r="L36" s="403"/>
      <c r="M36" s="481"/>
      <c r="N36" s="373"/>
      <c r="O36" s="373"/>
      <c r="P36" s="373"/>
      <c r="Q36" s="373"/>
    </row>
    <row r="37" spans="2:17" ht="15" customHeight="1">
      <c r="B37" s="16"/>
      <c r="C37" s="291"/>
      <c r="D37" s="279"/>
      <c r="E37" s="409"/>
      <c r="F37" s="409"/>
      <c r="G37" s="481"/>
      <c r="H37" s="409"/>
      <c r="I37" s="481"/>
      <c r="J37" s="409"/>
      <c r="K37" s="481"/>
      <c r="L37" s="409"/>
      <c r="M37" s="481"/>
      <c r="N37" s="373"/>
      <c r="O37" s="373"/>
      <c r="P37" s="373"/>
      <c r="Q37" s="373"/>
    </row>
    <row r="38" spans="2:17" ht="12.75" customHeight="1">
      <c r="B38" s="16"/>
      <c r="C38" s="291" t="str">
        <f>IF('Język - Language'!$B$30="Polski","REKLAMA ODSŁONOWA (vCPM)","vCPM ADVERTISING")</f>
        <v>REKLAMA ODSŁONOWA (vCPM)</v>
      </c>
      <c r="D38" s="279"/>
      <c r="E38" s="409"/>
      <c r="F38" s="409"/>
      <c r="G38" s="481"/>
      <c r="H38" s="409"/>
      <c r="I38" s="481"/>
      <c r="J38" s="409"/>
      <c r="K38" s="481"/>
      <c r="L38" s="409"/>
      <c r="M38" s="481"/>
      <c r="N38" s="373"/>
      <c r="O38" s="373"/>
      <c r="P38" s="373"/>
      <c r="Q38" s="373"/>
    </row>
    <row r="39" spans="2:17" ht="25.5" customHeight="1">
      <c r="B39" s="16"/>
      <c r="C39" s="841" t="s">
        <v>122</v>
      </c>
      <c r="D39" s="841"/>
      <c r="E39" s="841"/>
      <c r="F39" s="867" t="s">
        <v>241</v>
      </c>
      <c r="G39" s="867"/>
      <c r="H39" s="860" t="s">
        <v>172</v>
      </c>
      <c r="I39" s="860"/>
      <c r="J39" s="860" t="s">
        <v>185</v>
      </c>
      <c r="K39" s="851"/>
      <c r="L39" s="485"/>
    </row>
    <row r="40" spans="2:17" ht="25.5" customHeight="1">
      <c r="B40" s="16"/>
      <c r="C40" s="841"/>
      <c r="D40" s="841"/>
      <c r="E40" s="841"/>
      <c r="F40" s="894" t="str">
        <f>'Serwisy &amp; Pakiety'!F29</f>
        <v>rozliczenie za widzialne odsłony wg standardu IAB, po statystykach wewnętrznych WPM¹</v>
      </c>
      <c r="G40" s="894"/>
      <c r="H40" s="894"/>
      <c r="I40" s="894"/>
      <c r="J40" s="894"/>
      <c r="K40" s="895"/>
      <c r="L40" s="367"/>
    </row>
    <row r="41" spans="2:17" ht="12.75" customHeight="1">
      <c r="B41" s="16"/>
      <c r="C41" s="841"/>
      <c r="D41" s="841"/>
      <c r="E41" s="841"/>
      <c r="F41" s="860" t="s">
        <v>135</v>
      </c>
      <c r="G41" s="860"/>
      <c r="H41" s="860"/>
      <c r="I41" s="860"/>
      <c r="J41" s="860"/>
      <c r="K41" s="851"/>
      <c r="L41" s="485"/>
    </row>
    <row r="42" spans="2:17" ht="25.5" customHeight="1">
      <c r="B42" s="286"/>
      <c r="C42" s="462" t="s">
        <v>26</v>
      </c>
      <c r="D42" s="869" t="s">
        <v>173</v>
      </c>
      <c r="E42" s="870"/>
      <c r="F42" s="842" t="s">
        <v>105</v>
      </c>
      <c r="G42" s="859"/>
      <c r="H42" s="886" t="s">
        <v>244</v>
      </c>
      <c r="I42" s="887"/>
      <c r="J42" s="842" t="s">
        <v>105</v>
      </c>
      <c r="K42" s="843"/>
      <c r="L42" s="483"/>
    </row>
    <row r="43" spans="2:17" ht="25.5" customHeight="1">
      <c r="B43" s="16"/>
      <c r="C43" s="607" t="s">
        <v>182</v>
      </c>
      <c r="D43" s="855" t="s">
        <v>183</v>
      </c>
      <c r="E43" s="856"/>
      <c r="F43" s="861" t="s">
        <v>105</v>
      </c>
      <c r="G43" s="862"/>
      <c r="H43" s="861" t="s">
        <v>105</v>
      </c>
      <c r="I43" s="862"/>
      <c r="J43" s="892" t="s">
        <v>184</v>
      </c>
      <c r="K43" s="893"/>
      <c r="L43" s="483"/>
    </row>
    <row r="44" spans="2:17" s="495" customFormat="1" ht="25.5" customHeight="1">
      <c r="B44" s="286"/>
      <c r="C44" s="609" t="s">
        <v>52</v>
      </c>
      <c r="D44" s="874" t="s">
        <v>240</v>
      </c>
      <c r="E44" s="875"/>
      <c r="F44" s="857" t="s">
        <v>184</v>
      </c>
      <c r="G44" s="858"/>
      <c r="H44" s="844" t="s">
        <v>105</v>
      </c>
      <c r="I44" s="845"/>
      <c r="J44" s="844" t="s">
        <v>105</v>
      </c>
      <c r="K44" s="845"/>
      <c r="L44" s="483"/>
    </row>
    <row r="45" spans="2:17" ht="12.75" customHeight="1">
      <c r="B45" s="16"/>
      <c r="C45" s="277" t="str">
        <f>'Serwisy &amp; Pakiety'!C113</f>
        <v xml:space="preserve">¹ Ceny dotyczą rozliczenia vCPM po statystykach wewnętrznych WPM. W przypadku rozliczenia po statystykach zewnętrznych dopłata +20%. </v>
      </c>
      <c r="D45" s="466"/>
      <c r="E45" s="466"/>
      <c r="F45" s="282"/>
      <c r="G45" s="282"/>
      <c r="H45" s="282"/>
      <c r="I45" s="282"/>
      <c r="J45" s="282"/>
      <c r="K45" s="282"/>
      <c r="L45" s="282"/>
      <c r="M45" s="282"/>
      <c r="N45" s="282"/>
      <c r="O45" s="282"/>
    </row>
    <row r="46" spans="2:17" ht="12.75" customHeight="1">
      <c r="B46" s="16"/>
      <c r="C46" s="277" t="s">
        <v>186</v>
      </c>
      <c r="D46" s="466"/>
      <c r="E46" s="466"/>
      <c r="F46" s="282"/>
      <c r="G46" s="282"/>
      <c r="H46" s="282"/>
      <c r="I46" s="282"/>
      <c r="J46" s="282"/>
      <c r="K46" s="282"/>
      <c r="L46" s="282"/>
      <c r="M46" s="282"/>
      <c r="N46" s="282"/>
      <c r="O46" s="282"/>
    </row>
    <row r="47" spans="2:17" ht="12.75" customHeight="1">
      <c r="B47" s="16"/>
      <c r="C47" s="615" t="s">
        <v>203</v>
      </c>
      <c r="D47" s="466"/>
      <c r="E47" s="466"/>
      <c r="F47" s="282"/>
      <c r="G47" s="282"/>
      <c r="H47" s="282"/>
      <c r="I47" s="282"/>
      <c r="J47" s="282"/>
      <c r="K47" s="282"/>
      <c r="L47" s="282"/>
      <c r="M47" s="282"/>
      <c r="N47" s="282"/>
      <c r="O47" s="282"/>
    </row>
    <row r="48" spans="2:17" ht="15" customHeight="1">
      <c r="B48" s="16"/>
      <c r="C48" s="290"/>
      <c r="D48" s="290"/>
      <c r="E48" s="376"/>
      <c r="F48" s="372"/>
      <c r="G48" s="481"/>
      <c r="H48" s="372"/>
      <c r="I48" s="481"/>
      <c r="J48" s="376"/>
      <c r="K48" s="376"/>
      <c r="L48" s="376"/>
      <c r="M48" s="376"/>
      <c r="N48" s="372"/>
      <c r="O48" s="372"/>
    </row>
    <row r="49" spans="2:15" ht="15" customHeight="1">
      <c r="B49" s="16"/>
      <c r="C49" s="290"/>
      <c r="D49" s="290"/>
      <c r="E49" s="376"/>
      <c r="F49" s="372"/>
      <c r="G49" s="481"/>
      <c r="H49" s="372"/>
      <c r="I49" s="481"/>
      <c r="J49" s="376"/>
      <c r="K49" s="376"/>
      <c r="L49" s="376"/>
      <c r="M49" s="376"/>
      <c r="N49" s="372"/>
      <c r="O49" s="372"/>
    </row>
    <row r="50" spans="2:15" ht="12.75" customHeight="1">
      <c r="B50" s="16"/>
      <c r="C50" s="291" t="s">
        <v>126</v>
      </c>
      <c r="D50" s="290"/>
      <c r="E50" s="376"/>
      <c r="F50" s="372"/>
      <c r="G50" s="481"/>
      <c r="H50" s="372"/>
      <c r="I50" s="481"/>
      <c r="J50" s="376"/>
      <c r="K50" s="376"/>
      <c r="L50" s="376"/>
      <c r="M50" s="376"/>
      <c r="N50" s="372"/>
      <c r="O50" s="372"/>
    </row>
    <row r="51" spans="2:15" ht="25.5" customHeight="1">
      <c r="B51" s="16"/>
      <c r="C51" s="872" t="s">
        <v>122</v>
      </c>
      <c r="D51" s="872"/>
      <c r="E51" s="475" t="s">
        <v>129</v>
      </c>
      <c r="F51" s="863" t="s">
        <v>130</v>
      </c>
      <c r="G51" s="847"/>
      <c r="H51" s="850" t="s">
        <v>124</v>
      </c>
      <c r="I51" s="851"/>
      <c r="J51" s="376"/>
      <c r="K51" s="376"/>
      <c r="L51" s="372"/>
      <c r="M51" s="481"/>
      <c r="N51" s="372"/>
    </row>
    <row r="52" spans="2:15" ht="12.75" customHeight="1">
      <c r="B52" s="16"/>
      <c r="C52" s="872"/>
      <c r="D52" s="872"/>
      <c r="E52" s="860" t="s">
        <v>191</v>
      </c>
      <c r="F52" s="860"/>
      <c r="G52" s="851"/>
      <c r="H52" s="850" t="s">
        <v>188</v>
      </c>
      <c r="I52" s="851"/>
      <c r="J52" s="376"/>
      <c r="K52" s="376"/>
      <c r="L52" s="372"/>
      <c r="M52" s="481"/>
      <c r="N52" s="372"/>
    </row>
    <row r="53" spans="2:15" ht="12.75" customHeight="1">
      <c r="B53" s="286"/>
      <c r="C53" s="865" t="s">
        <v>127</v>
      </c>
      <c r="D53" s="366" t="s">
        <v>249</v>
      </c>
      <c r="E53" s="839">
        <v>240000</v>
      </c>
      <c r="F53" s="852">
        <v>190000</v>
      </c>
      <c r="G53" s="853"/>
      <c r="H53" s="852">
        <v>50000</v>
      </c>
      <c r="I53" s="853"/>
      <c r="J53" s="376"/>
      <c r="K53" s="376"/>
      <c r="L53" s="372"/>
      <c r="M53" s="481"/>
      <c r="N53" s="372"/>
    </row>
    <row r="54" spans="2:15" ht="12.75" customHeight="1">
      <c r="B54" s="286"/>
      <c r="C54" s="866"/>
      <c r="D54" s="311" t="s">
        <v>250</v>
      </c>
      <c r="E54" s="854"/>
      <c r="F54" s="842">
        <v>215000</v>
      </c>
      <c r="G54" s="843"/>
      <c r="H54" s="842"/>
      <c r="I54" s="843"/>
      <c r="J54" s="376"/>
      <c r="K54" s="376"/>
      <c r="L54" s="465"/>
      <c r="M54" s="481"/>
      <c r="N54" s="465"/>
    </row>
    <row r="55" spans="2:15" ht="25.5" customHeight="1">
      <c r="B55" s="286"/>
      <c r="C55" s="370" t="s">
        <v>128</v>
      </c>
      <c r="D55" s="371"/>
      <c r="E55" s="464">
        <v>70000</v>
      </c>
      <c r="F55" s="844">
        <v>80000</v>
      </c>
      <c r="G55" s="845"/>
      <c r="H55" s="844" t="s">
        <v>105</v>
      </c>
      <c r="I55" s="845"/>
      <c r="J55" s="376"/>
      <c r="K55" s="376"/>
      <c r="L55" s="372"/>
      <c r="M55" s="481"/>
      <c r="N55" s="372"/>
    </row>
    <row r="56" spans="2:15" ht="15" customHeight="1">
      <c r="B56" s="16"/>
      <c r="C56" s="290"/>
      <c r="D56" s="290"/>
      <c r="E56" s="376"/>
      <c r="F56" s="372"/>
      <c r="G56" s="481"/>
      <c r="H56" s="372"/>
      <c r="I56" s="481"/>
      <c r="J56" s="376"/>
      <c r="K56" s="376"/>
      <c r="L56" s="376"/>
      <c r="M56" s="376"/>
      <c r="N56" s="372"/>
      <c r="O56" s="372"/>
    </row>
    <row r="57" spans="2:15" ht="15" customHeight="1">
      <c r="B57" s="16"/>
      <c r="C57" s="290"/>
      <c r="D57" s="290"/>
      <c r="E57" s="376"/>
      <c r="F57" s="372"/>
      <c r="G57" s="481"/>
      <c r="H57" s="372"/>
      <c r="I57" s="481"/>
      <c r="J57" s="376"/>
      <c r="K57" s="376"/>
      <c r="L57" s="376"/>
      <c r="M57" s="376"/>
      <c r="N57" s="372"/>
      <c r="O57" s="372"/>
    </row>
    <row r="58" spans="2:15" ht="12.75" customHeight="1">
      <c r="B58" s="16"/>
      <c r="C58" s="291" t="s">
        <v>131</v>
      </c>
      <c r="D58" s="290"/>
      <c r="E58" s="376"/>
      <c r="F58" s="372"/>
      <c r="G58" s="481"/>
      <c r="H58" s="372"/>
      <c r="I58" s="481"/>
      <c r="J58" s="376"/>
      <c r="K58" s="376"/>
      <c r="L58" s="376"/>
      <c r="M58" s="376"/>
      <c r="N58" s="372"/>
      <c r="O58" s="372"/>
    </row>
    <row r="59" spans="2:15" ht="25.5" customHeight="1">
      <c r="B59" s="16"/>
      <c r="C59" s="872" t="s">
        <v>122</v>
      </c>
      <c r="D59" s="872"/>
      <c r="E59" s="480" t="s">
        <v>134</v>
      </c>
      <c r="F59" s="863" t="s">
        <v>125</v>
      </c>
      <c r="G59" s="847"/>
      <c r="H59" s="846" t="s">
        <v>151</v>
      </c>
      <c r="I59" s="847"/>
      <c r="J59" s="376"/>
      <c r="K59" s="376"/>
      <c r="L59" s="376"/>
      <c r="M59" s="376"/>
      <c r="N59" s="372"/>
      <c r="O59" s="372"/>
    </row>
    <row r="60" spans="2:15" ht="12.75" customHeight="1">
      <c r="B60" s="16"/>
      <c r="C60" s="872"/>
      <c r="D60" s="872"/>
      <c r="E60" s="860" t="s">
        <v>243</v>
      </c>
      <c r="F60" s="860"/>
      <c r="G60" s="860"/>
      <c r="H60" s="860" t="s">
        <v>242</v>
      </c>
      <c r="I60" s="851"/>
      <c r="J60" s="376"/>
      <c r="K60" s="376"/>
      <c r="L60" s="376"/>
      <c r="M60" s="376"/>
      <c r="N60" s="372"/>
      <c r="O60" s="372"/>
    </row>
    <row r="61" spans="2:15" ht="25.5" customHeight="1">
      <c r="B61" s="286"/>
      <c r="C61" s="866" t="s">
        <v>132</v>
      </c>
      <c r="D61" s="883"/>
      <c r="E61" s="839">
        <v>65</v>
      </c>
      <c r="F61" s="852">
        <v>45</v>
      </c>
      <c r="G61" s="853"/>
      <c r="H61" s="842" t="s">
        <v>152</v>
      </c>
      <c r="I61" s="843"/>
      <c r="J61" s="376"/>
      <c r="K61" s="376"/>
      <c r="L61" s="376"/>
      <c r="M61" s="376"/>
      <c r="N61" s="372"/>
      <c r="O61" s="372"/>
    </row>
    <row r="62" spans="2:15" ht="25.5" customHeight="1">
      <c r="B62" s="286"/>
      <c r="C62" s="884" t="s">
        <v>133</v>
      </c>
      <c r="D62" s="885"/>
      <c r="E62" s="840"/>
      <c r="F62" s="888"/>
      <c r="G62" s="889"/>
      <c r="H62" s="848">
        <v>0.25</v>
      </c>
      <c r="I62" s="849"/>
      <c r="J62" s="376"/>
      <c r="K62" s="376"/>
      <c r="L62" s="376"/>
      <c r="M62" s="376"/>
      <c r="N62" s="372"/>
      <c r="O62" s="372"/>
    </row>
    <row r="63" spans="2:15" ht="15" customHeight="1">
      <c r="B63" s="16"/>
      <c r="C63" s="290"/>
      <c r="D63" s="290"/>
      <c r="E63" s="376"/>
      <c r="F63" s="372"/>
      <c r="G63" s="481"/>
      <c r="H63" s="372"/>
      <c r="I63" s="481"/>
      <c r="J63" s="376"/>
      <c r="K63" s="376"/>
      <c r="L63" s="376"/>
      <c r="M63" s="376"/>
      <c r="N63" s="372"/>
      <c r="O63" s="372"/>
    </row>
    <row r="64" spans="2:15" ht="7.5" customHeight="1">
      <c r="B64" s="878" t="str">
        <f>IF('Język - Language'!$B$30="Polski","REKLAMA ODSŁONOWA (vCPM) NA SERWISACH &gt;&gt;&gt;","vCPM ADVERTISING ON SITES &gt;&gt;&gt;")</f>
        <v>REKLAMA ODSŁONOWA (vCPM) NA SERWISACH &gt;&gt;&gt;</v>
      </c>
      <c r="C64" s="878"/>
      <c r="D64" s="878"/>
      <c r="E64" s="878"/>
      <c r="F64" s="279"/>
      <c r="G64" s="279"/>
      <c r="H64" s="279"/>
      <c r="I64" s="279"/>
      <c r="J64" s="279"/>
      <c r="K64" s="279"/>
      <c r="L64" s="279"/>
      <c r="M64" s="279"/>
      <c r="N64" s="279"/>
      <c r="O64" s="279"/>
    </row>
    <row r="65" spans="2:15">
      <c r="B65" s="878"/>
      <c r="C65" s="878"/>
      <c r="D65" s="878"/>
      <c r="E65" s="878"/>
      <c r="F65" s="279"/>
      <c r="G65" s="279"/>
      <c r="H65" s="279"/>
      <c r="I65" s="279"/>
      <c r="J65" s="279"/>
      <c r="K65" s="279"/>
      <c r="L65" s="279"/>
      <c r="M65" s="279"/>
      <c r="N65" s="279"/>
      <c r="O65" s="279"/>
    </row>
    <row r="66" spans="2:15" s="495" customFormat="1" ht="7.5" customHeight="1">
      <c r="B66" s="878"/>
      <c r="C66" s="878"/>
      <c r="D66" s="878"/>
      <c r="E66" s="878"/>
      <c r="F66" s="497"/>
      <c r="G66" s="497"/>
      <c r="H66" s="497"/>
      <c r="I66" s="497"/>
      <c r="J66" s="497"/>
      <c r="K66" s="497"/>
      <c r="L66" s="497"/>
      <c r="M66" s="497"/>
      <c r="N66" s="497"/>
      <c r="O66" s="497"/>
    </row>
    <row r="67" spans="2:15" s="495" customFormat="1">
      <c r="B67" s="496"/>
      <c r="C67" s="487"/>
      <c r="D67" s="498"/>
      <c r="E67" s="499"/>
      <c r="F67" s="497"/>
      <c r="G67" s="497"/>
      <c r="H67" s="497"/>
      <c r="I67" s="497"/>
      <c r="J67" s="497"/>
      <c r="K67" s="497"/>
      <c r="L67" s="497"/>
      <c r="M67" s="497"/>
      <c r="N67" s="497"/>
      <c r="O67" s="497"/>
    </row>
    <row r="68" spans="2:15" ht="7.5" customHeight="1">
      <c r="B68" s="879" t="str">
        <f>IF('Język - Language'!$B$30="Polski","REKLAMA DATA POWER &gt;&gt;&gt;","DATA POWER ADVERTISING &gt;&gt;&gt;")</f>
        <v>REKLAMA DATA POWER &gt;&gt;&gt;</v>
      </c>
      <c r="C68" s="879"/>
      <c r="D68" s="879"/>
      <c r="E68" s="879"/>
      <c r="F68" s="279"/>
      <c r="G68" s="279"/>
      <c r="H68" s="279"/>
      <c r="I68" s="279"/>
      <c r="J68" s="314"/>
      <c r="K68" s="481"/>
      <c r="L68" s="314"/>
      <c r="M68" s="481"/>
      <c r="N68" s="314"/>
      <c r="O68" s="314"/>
    </row>
    <row r="69" spans="2:15" ht="12.75" customHeight="1">
      <c r="B69" s="879"/>
      <c r="C69" s="879"/>
      <c r="D69" s="879"/>
      <c r="E69" s="879"/>
    </row>
    <row r="70" spans="2:15" ht="7.5" customHeight="1">
      <c r="B70" s="879"/>
      <c r="C70" s="879"/>
      <c r="D70" s="879"/>
      <c r="E70" s="879"/>
    </row>
  </sheetData>
  <mergeCells count="120">
    <mergeCell ref="I1:N3"/>
    <mergeCell ref="J43:K43"/>
    <mergeCell ref="J42:K42"/>
    <mergeCell ref="J44:K44"/>
    <mergeCell ref="F40:K40"/>
    <mergeCell ref="J39:K39"/>
    <mergeCell ref="F41:K41"/>
    <mergeCell ref="H43:I43"/>
    <mergeCell ref="M30:N30"/>
    <mergeCell ref="K30:L30"/>
    <mergeCell ref="F30:G30"/>
    <mergeCell ref="F31:G31"/>
    <mergeCell ref="F32:G32"/>
    <mergeCell ref="F33:G33"/>
    <mergeCell ref="F34:G34"/>
    <mergeCell ref="F35:G35"/>
    <mergeCell ref="L9:M9"/>
    <mergeCell ref="L10:M10"/>
    <mergeCell ref="J11:K12"/>
    <mergeCell ref="J13:K13"/>
    <mergeCell ref="J14:K14"/>
    <mergeCell ref="F29:G29"/>
    <mergeCell ref="E28:G28"/>
    <mergeCell ref="E8:E9"/>
    <mergeCell ref="H8:I8"/>
    <mergeCell ref="H9:I9"/>
    <mergeCell ref="H18:I18"/>
    <mergeCell ref="J18:K18"/>
    <mergeCell ref="L18:M18"/>
    <mergeCell ref="F19:G19"/>
    <mergeCell ref="H19:I19"/>
    <mergeCell ref="F15:G15"/>
    <mergeCell ref="F16:G16"/>
    <mergeCell ref="J15:K16"/>
    <mergeCell ref="J17:K17"/>
    <mergeCell ref="J19:K19"/>
    <mergeCell ref="H10:I10"/>
    <mergeCell ref="H11:I11"/>
    <mergeCell ref="H12:I12"/>
    <mergeCell ref="H15:I15"/>
    <mergeCell ref="H16:I16"/>
    <mergeCell ref="J20:K20"/>
    <mergeCell ref="L11:M12"/>
    <mergeCell ref="L13:M13"/>
    <mergeCell ref="L14:M14"/>
    <mergeCell ref="L15:M16"/>
    <mergeCell ref="L17:M17"/>
    <mergeCell ref="L19:M19"/>
    <mergeCell ref="L20:M20"/>
    <mergeCell ref="J8:K8"/>
    <mergeCell ref="J9:K9"/>
    <mergeCell ref="J10:K10"/>
    <mergeCell ref="L8:M8"/>
    <mergeCell ref="B64:E66"/>
    <mergeCell ref="B68:E70"/>
    <mergeCell ref="P17:S17"/>
    <mergeCell ref="C20:D20"/>
    <mergeCell ref="N15:N16"/>
    <mergeCell ref="C13:D13"/>
    <mergeCell ref="P13:Q13"/>
    <mergeCell ref="R13:S13"/>
    <mergeCell ref="C14:D14"/>
    <mergeCell ref="P14:S15"/>
    <mergeCell ref="C15:C16"/>
    <mergeCell ref="E15:E16"/>
    <mergeCell ref="H13:I13"/>
    <mergeCell ref="H14:I14"/>
    <mergeCell ref="H17:I17"/>
    <mergeCell ref="H20:I20"/>
    <mergeCell ref="C17:D17"/>
    <mergeCell ref="C59:D60"/>
    <mergeCell ref="C61:D61"/>
    <mergeCell ref="C62:D62"/>
    <mergeCell ref="F53:G53"/>
    <mergeCell ref="H39:I39"/>
    <mergeCell ref="H42:I42"/>
    <mergeCell ref="F61:G62"/>
    <mergeCell ref="C8:D10"/>
    <mergeCell ref="C11:C12"/>
    <mergeCell ref="F8:G8"/>
    <mergeCell ref="F9:G9"/>
    <mergeCell ref="F10:G10"/>
    <mergeCell ref="F11:G11"/>
    <mergeCell ref="F12:G12"/>
    <mergeCell ref="C53:C54"/>
    <mergeCell ref="D42:E42"/>
    <mergeCell ref="C28:D29"/>
    <mergeCell ref="C30:C35"/>
    <mergeCell ref="C51:D52"/>
    <mergeCell ref="F13:G13"/>
    <mergeCell ref="F14:G14"/>
    <mergeCell ref="F17:G17"/>
    <mergeCell ref="F20:G20"/>
    <mergeCell ref="D44:E44"/>
    <mergeCell ref="F39:G39"/>
    <mergeCell ref="F51:G51"/>
    <mergeCell ref="E52:G52"/>
    <mergeCell ref="C19:D19"/>
    <mergeCell ref="C18:D18"/>
    <mergeCell ref="F18:G18"/>
    <mergeCell ref="E61:E62"/>
    <mergeCell ref="C39:E41"/>
    <mergeCell ref="F54:G54"/>
    <mergeCell ref="F55:G55"/>
    <mergeCell ref="H55:I55"/>
    <mergeCell ref="H59:I59"/>
    <mergeCell ref="H61:I61"/>
    <mergeCell ref="H62:I62"/>
    <mergeCell ref="H51:I51"/>
    <mergeCell ref="H52:I52"/>
    <mergeCell ref="H53:I54"/>
    <mergeCell ref="E53:E54"/>
    <mergeCell ref="D43:E43"/>
    <mergeCell ref="F44:G44"/>
    <mergeCell ref="F42:G42"/>
    <mergeCell ref="H60:I60"/>
    <mergeCell ref="E60:G60"/>
    <mergeCell ref="F43:G43"/>
    <mergeCell ref="H44:I44"/>
    <mergeCell ref="F59:G59"/>
  </mergeCells>
  <hyperlinks>
    <hyperlink ref="B64" location="'Serwisy &amp; Pakiety'!A22" display="'Serwisy &amp; Pakiety'!A22" xr:uid="{00000000-0004-0000-0200-000000000000}"/>
    <hyperlink ref="B68" location="DataPower!A7" display="DataPower!A7" xr:uid="{00000000-0004-0000-0200-000001000000}"/>
    <hyperlink ref="B68:E70" location="'Dopłaty - Extra charges'!A76" display="'Dopłaty - Extra charges'!A76" xr:uid="{00000000-0004-0000-0200-000002000000}"/>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R77"/>
  <sheetViews>
    <sheetView zoomScaleNormal="100" workbookViewId="0">
      <pane ySplit="4" topLeftCell="A5" activePane="bottomLeft" state="frozen"/>
      <selection pane="bottomLeft" activeCell="G21" sqref="G21:H21"/>
    </sheetView>
  </sheetViews>
  <sheetFormatPr defaultColWidth="11.42578125" defaultRowHeight="12.75"/>
  <cols>
    <col min="1" max="1" width="2.85546875" style="214" customWidth="1"/>
    <col min="2" max="2" width="2.85546875" style="63" customWidth="1"/>
    <col min="3" max="3" width="25" style="63" customWidth="1"/>
    <col min="4" max="4" width="25.7109375" style="63" customWidth="1"/>
    <col min="5" max="7" width="25.5703125" style="63" customWidth="1"/>
    <col min="8" max="8" width="25.5703125" style="103" customWidth="1"/>
    <col min="9" max="9" width="25.5703125" style="63" customWidth="1"/>
    <col min="10" max="10" width="10" style="63" customWidth="1"/>
    <col min="11" max="11" width="15.42578125" style="63" customWidth="1"/>
    <col min="12" max="14" width="13.42578125" style="63" customWidth="1"/>
    <col min="15" max="15" width="11" style="63" customWidth="1"/>
    <col min="16" max="16" width="24" style="63" customWidth="1"/>
    <col min="17" max="16384" width="11.42578125" style="63"/>
  </cols>
  <sheetData>
    <row r="1" spans="1:18" ht="12.75" customHeight="1">
      <c r="A1" s="272"/>
      <c r="B1" s="270"/>
      <c r="C1" s="15" t="s">
        <v>28</v>
      </c>
      <c r="D1" s="15"/>
      <c r="E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697"/>
      <c r="G1" s="697"/>
      <c r="H1" s="697"/>
      <c r="I1" s="274"/>
      <c r="J1" s="74"/>
      <c r="K1" s="272"/>
      <c r="L1" s="272"/>
      <c r="M1" s="272"/>
      <c r="N1" s="272"/>
      <c r="O1" s="272"/>
      <c r="P1" s="272"/>
      <c r="Q1" s="272"/>
      <c r="R1" s="272"/>
    </row>
    <row r="2" spans="1:18" ht="12.75" customHeight="1">
      <c r="A2" s="272"/>
      <c r="B2" s="272"/>
      <c r="C2" s="272"/>
      <c r="D2" s="272"/>
      <c r="E2" s="697"/>
      <c r="F2" s="697"/>
      <c r="G2" s="697"/>
      <c r="H2" s="697"/>
      <c r="I2" s="274"/>
      <c r="J2" s="74"/>
      <c r="K2" s="272"/>
      <c r="L2" s="272"/>
      <c r="M2" s="272"/>
      <c r="N2" s="272"/>
      <c r="O2" s="272"/>
      <c r="P2" s="272"/>
      <c r="Q2" s="272"/>
      <c r="R2" s="272"/>
    </row>
    <row r="3" spans="1:18">
      <c r="A3" s="272"/>
      <c r="B3" s="272"/>
      <c r="C3" s="272"/>
      <c r="D3" s="272"/>
      <c r="E3" s="697"/>
      <c r="F3" s="697"/>
      <c r="G3" s="697"/>
      <c r="H3" s="697"/>
      <c r="I3" s="274"/>
      <c r="J3" s="74"/>
      <c r="K3" s="272"/>
      <c r="L3" s="272"/>
      <c r="M3" s="272"/>
      <c r="N3" s="272"/>
      <c r="O3" s="272"/>
      <c r="P3" s="272"/>
      <c r="Q3" s="272"/>
      <c r="R3" s="272"/>
    </row>
    <row r="4" spans="1:18" s="34" customFormat="1" ht="12.75" customHeight="1">
      <c r="A4" s="275"/>
      <c r="B4" s="275"/>
      <c r="C4" s="101" t="str">
        <f>IF('Język - Language'!$B$30="Polski","            Emisje dobowe i tygodniowe","            Flat Fee daily and weekly emission")</f>
        <v xml:space="preserve">            Emisje dobowe i tygodniowe</v>
      </c>
      <c r="D4" s="75"/>
      <c r="E4" s="75"/>
      <c r="F4" s="75"/>
      <c r="G4" s="275"/>
      <c r="H4" s="269" t="str">
        <f>IF('Język - Language'!$B$30="Polski","PL","EN")</f>
        <v>PL</v>
      </c>
      <c r="I4" s="275"/>
      <c r="J4" s="275"/>
      <c r="K4" s="275"/>
      <c r="L4" s="275"/>
      <c r="M4" s="275"/>
      <c r="N4" s="275"/>
      <c r="O4" s="275"/>
      <c r="P4" s="275"/>
      <c r="Q4" s="275"/>
      <c r="R4" s="275"/>
    </row>
    <row r="5" spans="1:18" s="3" customFormat="1" ht="12.75" customHeight="1">
      <c r="A5" s="270"/>
      <c r="B5" s="270"/>
      <c r="C5" s="9"/>
      <c r="D5" s="9"/>
      <c r="E5" s="9"/>
      <c r="F5" s="9"/>
      <c r="G5" s="270"/>
      <c r="H5" s="270"/>
      <c r="I5" s="270"/>
      <c r="J5" s="270"/>
      <c r="K5" s="270"/>
      <c r="L5" s="270"/>
      <c r="M5" s="270"/>
      <c r="N5" s="270"/>
      <c r="O5" s="270"/>
      <c r="P5" s="270"/>
      <c r="Q5" s="270"/>
      <c r="R5" s="270"/>
    </row>
    <row r="6" spans="1:18" ht="12.75" customHeight="1">
      <c r="A6" s="272"/>
      <c r="B6" s="272"/>
      <c r="C6" s="32"/>
      <c r="D6" s="32"/>
      <c r="E6" s="32"/>
      <c r="F6" s="32"/>
      <c r="G6" s="32"/>
      <c r="H6" s="32"/>
      <c r="I6" s="32"/>
      <c r="J6" s="32"/>
      <c r="K6" s="32"/>
      <c r="L6" s="32"/>
      <c r="M6" s="32"/>
      <c r="N6" s="32"/>
      <c r="O6" s="32"/>
      <c r="P6" s="78"/>
      <c r="Q6" s="270"/>
      <c r="R6" s="272"/>
    </row>
    <row r="7" spans="1:18" ht="12.75" customHeight="1">
      <c r="A7" s="272"/>
      <c r="B7" s="272"/>
      <c r="C7" s="960" t="str">
        <f>IF('Język - Language'!$B$30="Polski",CONCATENATE("MIEJSCE EMISJI"),CONCATENATE("PLACE OF EMISSION"))</f>
        <v>MIEJSCE EMISJI</v>
      </c>
      <c r="D7" s="727" t="s">
        <v>262</v>
      </c>
      <c r="E7" s="727" t="str">
        <f>IF('Język - Language'!$B$30="Polski","FORMAT","FORMAT")</f>
        <v>FORMAT</v>
      </c>
      <c r="F7" s="727" t="str">
        <f>IF('Język - Language'!$B$30="Polski","MODEL EMISJI","MODEL OF EMISSION")</f>
        <v>MODEL EMISJI</v>
      </c>
      <c r="G7" s="727" t="str">
        <f>IF('Język - Language'!$B$30="Polski","CENA RC","RC PRICE")</f>
        <v>CENA RC</v>
      </c>
      <c r="H7" s="733"/>
      <c r="I7" s="38"/>
      <c r="J7" s="38"/>
      <c r="K7" s="8"/>
      <c r="L7" s="8"/>
      <c r="M7" s="26"/>
      <c r="N7" s="270"/>
      <c r="O7" s="270"/>
      <c r="P7" s="270"/>
      <c r="Q7" s="270"/>
      <c r="R7" s="270"/>
    </row>
    <row r="8" spans="1:18" s="272" customFormat="1" ht="12.75" customHeight="1">
      <c r="C8" s="960"/>
      <c r="D8" s="727"/>
      <c r="E8" s="727"/>
      <c r="F8" s="727"/>
      <c r="G8" s="640" t="str">
        <f>IF('Język - Language'!$B$30="Polski","styczeń-wrzesień","Jan-Sep")</f>
        <v>styczeń-wrzesień</v>
      </c>
      <c r="H8" s="641" t="str">
        <f>IF('Język - Language'!$B$30="Polski","październik-grudzień","Oct-Dec")</f>
        <v>październik-grudzień</v>
      </c>
      <c r="I8" s="38"/>
      <c r="J8" s="38"/>
      <c r="K8" s="8"/>
      <c r="L8" s="8"/>
      <c r="M8" s="26"/>
      <c r="N8" s="270"/>
      <c r="O8" s="270"/>
      <c r="P8" s="270"/>
      <c r="Q8" s="270"/>
      <c r="R8" s="270"/>
    </row>
    <row r="9" spans="1:18" s="232" customFormat="1" ht="12.75" customHeight="1">
      <c r="A9" s="272"/>
      <c r="B9" s="905" t="s">
        <v>29</v>
      </c>
      <c r="C9" s="919" t="s">
        <v>264</v>
      </c>
      <c r="D9" s="919" t="s">
        <v>263</v>
      </c>
      <c r="E9" s="309" t="str">
        <f>IF('Język - Language'!$B$30="Polski","Panel Premium","Panel Premium")</f>
        <v>Panel Premium</v>
      </c>
      <c r="F9" s="913" t="str">
        <f>IF('Język - Language'!$B$30="Polski","Flat Fee / dzień","Flat Fee / 1 day")</f>
        <v>Flat Fee / dzień</v>
      </c>
      <c r="G9" s="396">
        <v>385000</v>
      </c>
      <c r="H9" s="400">
        <v>450000</v>
      </c>
      <c r="I9" s="38"/>
      <c r="J9" s="38"/>
      <c r="K9" s="8"/>
      <c r="L9" s="8"/>
      <c r="M9" s="26"/>
      <c r="N9" s="270"/>
      <c r="O9" s="270"/>
      <c r="P9" s="270"/>
      <c r="Q9" s="270"/>
      <c r="R9" s="270"/>
    </row>
    <row r="10" spans="1:18" s="85" customFormat="1" ht="12.75" customHeight="1">
      <c r="A10" s="272"/>
      <c r="B10" s="905"/>
      <c r="C10" s="919"/>
      <c r="D10" s="919"/>
      <c r="E10" s="186" t="str">
        <f>IF('Język - Language'!$B$30="Polski","Panel Premium XL","Panel Premium XL")</f>
        <v>Panel Premium XL</v>
      </c>
      <c r="F10" s="913"/>
      <c r="G10" s="396">
        <v>470000</v>
      </c>
      <c r="H10" s="400">
        <v>565000</v>
      </c>
      <c r="I10" s="38"/>
      <c r="J10" s="38"/>
      <c r="K10" s="8"/>
      <c r="L10" s="8"/>
      <c r="M10" s="26"/>
      <c r="N10" s="270"/>
      <c r="O10" s="270"/>
      <c r="P10" s="270"/>
      <c r="Q10" s="270"/>
      <c r="R10" s="270"/>
    </row>
    <row r="11" spans="1:18" s="272" customFormat="1" ht="12.75" customHeight="1">
      <c r="B11" s="905"/>
      <c r="C11" s="919"/>
      <c r="D11" s="919"/>
      <c r="E11" s="186" t="str">
        <f>IF('Język - Language'!$B$30="Polski","WP Box w module Wiadomości FF","WP Box in the News category FF")</f>
        <v>WP Box w module Wiadomości FF</v>
      </c>
      <c r="F11" s="913"/>
      <c r="G11" s="394">
        <v>130000</v>
      </c>
      <c r="H11" s="395">
        <v>155000</v>
      </c>
      <c r="I11" s="38"/>
      <c r="J11" s="38"/>
      <c r="K11" s="8"/>
      <c r="L11" s="8"/>
      <c r="M11" s="26"/>
      <c r="N11" s="270"/>
      <c r="O11" s="270"/>
      <c r="P11" s="270"/>
      <c r="Q11" s="270"/>
      <c r="R11" s="270"/>
    </row>
    <row r="12" spans="1:18" s="272" customFormat="1" ht="12.75" customHeight="1">
      <c r="B12" s="905"/>
      <c r="C12" s="919"/>
      <c r="D12" s="919"/>
      <c r="E12" s="186" t="str">
        <f>IF('Język - Language'!$B$30="Polski","WP Box w module Sport FF","WP Box in the Sport category FF")</f>
        <v>WP Box w module Sport FF</v>
      </c>
      <c r="F12" s="913"/>
      <c r="G12" s="394">
        <v>90000</v>
      </c>
      <c r="H12" s="395">
        <v>105000</v>
      </c>
      <c r="I12" s="38"/>
      <c r="J12" s="38"/>
      <c r="K12" s="8"/>
      <c r="L12" s="8"/>
      <c r="M12" s="26"/>
      <c r="N12" s="270"/>
      <c r="O12" s="270"/>
      <c r="P12" s="270"/>
      <c r="Q12" s="270"/>
      <c r="R12" s="270"/>
    </row>
    <row r="13" spans="1:18" s="272" customFormat="1" ht="12.75" customHeight="1">
      <c r="B13" s="905"/>
      <c r="C13" s="919"/>
      <c r="D13" s="919"/>
      <c r="E13" s="188" t="str">
        <f>IF('Język - Language'!$B$30="Polski","WP Box w module Biznes FF","WP Box in the Business category FF")</f>
        <v>WP Box w module Biznes FF</v>
      </c>
      <c r="F13" s="914"/>
      <c r="G13" s="676">
        <v>63000</v>
      </c>
      <c r="H13" s="677">
        <v>72000</v>
      </c>
      <c r="I13" s="38"/>
      <c r="J13" s="38"/>
      <c r="K13" s="8"/>
      <c r="L13" s="8"/>
      <c r="M13" s="26"/>
      <c r="N13" s="270"/>
      <c r="O13" s="270"/>
      <c r="P13" s="270"/>
      <c r="Q13" s="270"/>
      <c r="R13" s="270"/>
    </row>
    <row r="14" spans="1:18" s="272" customFormat="1" ht="12.75" customHeight="1">
      <c r="B14" s="905"/>
      <c r="C14" s="912"/>
      <c r="D14" s="912"/>
      <c r="E14" s="678" t="s">
        <v>294</v>
      </c>
      <c r="F14" s="679" t="str">
        <f>IF('Język - Language'!$B$30="Polski","1/uu na godzinę / dzień","1/uu per hour / 1 day")</f>
        <v>1/uu na godzinę / dzień</v>
      </c>
      <c r="G14" s="674">
        <v>270000</v>
      </c>
      <c r="H14" s="680">
        <v>320000</v>
      </c>
      <c r="I14" s="38"/>
      <c r="J14" s="38"/>
      <c r="K14" s="8"/>
      <c r="L14" s="8"/>
      <c r="M14" s="26"/>
      <c r="N14" s="270"/>
      <c r="O14" s="270"/>
      <c r="P14" s="270"/>
      <c r="Q14" s="270"/>
      <c r="R14" s="270"/>
    </row>
    <row r="15" spans="1:18" s="85" customFormat="1" ht="12.75" customHeight="1">
      <c r="A15" s="272"/>
      <c r="B15" s="905"/>
      <c r="C15" s="911" t="s">
        <v>52</v>
      </c>
      <c r="D15" s="194" t="s">
        <v>263</v>
      </c>
      <c r="E15" s="194" t="str">
        <f>IF('Język - Language'!$B$30="Polski","Panel Premium","Panel Premium")</f>
        <v>Panel Premium</v>
      </c>
      <c r="F15" s="669" t="str">
        <f>IF('Język - Language'!$B$30="Polski","Flat Fee / dzień","Flat Fee / 1 day")</f>
        <v>Flat Fee / dzień</v>
      </c>
      <c r="G15" s="916">
        <v>30000</v>
      </c>
      <c r="H15" s="917"/>
      <c r="I15" s="38"/>
      <c r="J15" s="38"/>
      <c r="K15" s="8"/>
      <c r="L15" s="8"/>
      <c r="M15" s="26"/>
      <c r="N15" s="270"/>
      <c r="O15" s="270"/>
      <c r="P15" s="270"/>
      <c r="Q15" s="270"/>
      <c r="R15" s="270"/>
    </row>
    <row r="16" spans="1:18" s="85" customFormat="1" ht="12.75" customHeight="1">
      <c r="A16" s="272"/>
      <c r="B16" s="905"/>
      <c r="C16" s="919"/>
      <c r="D16" s="911" t="s">
        <v>265</v>
      </c>
      <c r="E16" s="187" t="s">
        <v>248</v>
      </c>
      <c r="F16" s="915" t="s">
        <v>247</v>
      </c>
      <c r="G16" s="824">
        <v>80000</v>
      </c>
      <c r="H16" s="918"/>
      <c r="I16" s="38"/>
      <c r="J16" s="38"/>
      <c r="K16" s="8"/>
      <c r="L16" s="8"/>
      <c r="M16" s="26"/>
      <c r="N16" s="270"/>
      <c r="O16" s="270"/>
      <c r="P16" s="270"/>
      <c r="Q16" s="270"/>
      <c r="R16" s="270"/>
    </row>
    <row r="17" spans="1:18" s="272" customFormat="1" ht="12.75" customHeight="1">
      <c r="B17" s="905"/>
      <c r="C17" s="919"/>
      <c r="D17" s="919"/>
      <c r="E17" s="959" t="s">
        <v>285</v>
      </c>
      <c r="F17" s="914"/>
      <c r="G17" s="909">
        <v>70000</v>
      </c>
      <c r="H17" s="910"/>
      <c r="I17" s="38"/>
      <c r="J17" s="38"/>
      <c r="K17" s="8"/>
      <c r="L17" s="8"/>
      <c r="M17" s="26"/>
      <c r="N17" s="270"/>
      <c r="O17" s="270"/>
      <c r="P17" s="270"/>
      <c r="Q17" s="270"/>
      <c r="R17" s="270"/>
    </row>
    <row r="18" spans="1:18" s="272" customFormat="1" ht="12.75" customHeight="1">
      <c r="B18" s="905"/>
      <c r="C18" s="912"/>
      <c r="D18" s="912"/>
      <c r="E18" s="912"/>
      <c r="F18" s="670" t="s">
        <v>261</v>
      </c>
      <c r="G18" s="916">
        <v>210000</v>
      </c>
      <c r="H18" s="917"/>
      <c r="I18" s="38"/>
      <c r="J18" s="38"/>
      <c r="K18" s="8"/>
      <c r="L18" s="8"/>
      <c r="M18" s="26"/>
      <c r="N18" s="270"/>
      <c r="O18" s="270"/>
      <c r="P18" s="270"/>
      <c r="Q18" s="270"/>
      <c r="R18" s="270"/>
    </row>
    <row r="19" spans="1:18" s="272" customFormat="1" ht="12.75" customHeight="1">
      <c r="B19" s="905"/>
      <c r="C19" s="911" t="s">
        <v>274</v>
      </c>
      <c r="D19" s="911" t="s">
        <v>263</v>
      </c>
      <c r="E19" s="195" t="s">
        <v>283</v>
      </c>
      <c r="F19" s="915" t="s">
        <v>247</v>
      </c>
      <c r="G19" s="907">
        <v>25000</v>
      </c>
      <c r="H19" s="908"/>
      <c r="I19" s="38"/>
      <c r="J19" s="38"/>
      <c r="K19" s="8"/>
      <c r="L19" s="8"/>
      <c r="M19" s="26"/>
      <c r="N19" s="270"/>
      <c r="O19" s="270"/>
      <c r="P19" s="270"/>
      <c r="Q19" s="270"/>
      <c r="R19" s="270"/>
    </row>
    <row r="20" spans="1:18" s="272" customFormat="1" ht="12.75" customHeight="1">
      <c r="B20" s="905"/>
      <c r="C20" s="912"/>
      <c r="D20" s="912"/>
      <c r="E20" s="667" t="s">
        <v>284</v>
      </c>
      <c r="F20" s="914"/>
      <c r="G20" s="909">
        <v>32000</v>
      </c>
      <c r="H20" s="910"/>
      <c r="I20" s="38"/>
      <c r="J20" s="38"/>
      <c r="K20" s="8"/>
      <c r="L20" s="8"/>
      <c r="M20" s="26"/>
      <c r="N20" s="270"/>
      <c r="O20" s="270"/>
      <c r="P20" s="270"/>
      <c r="Q20" s="270"/>
      <c r="R20" s="270"/>
    </row>
    <row r="21" spans="1:18" s="85" customFormat="1" ht="12.75" customHeight="1">
      <c r="A21" s="272"/>
      <c r="B21" s="905"/>
      <c r="C21" s="194" t="str">
        <f>IF('Język - Language'!$B$30="Polski","Poczta WP","WP Email Service")</f>
        <v>Poczta WP</v>
      </c>
      <c r="D21" s="194" t="str">
        <f>IF('Język - Language'!$B$30="Polski","ROS (z wykluczeniami)","ROS (exclusions)")</f>
        <v>ROS (z wykluczeniami)</v>
      </c>
      <c r="E21" s="911" t="str">
        <f>IF('Język - Language'!$B$30="Polski","Panel Premium","Panel Premium")</f>
        <v>Panel Premium</v>
      </c>
      <c r="F21" s="670" t="str">
        <f>IF('Język - Language'!$B$30="Polski","Flat Fee / dzień","Flat Fee / 1 day")</f>
        <v>Flat Fee / dzień</v>
      </c>
      <c r="G21" s="916">
        <v>110000</v>
      </c>
      <c r="H21" s="917"/>
      <c r="I21" s="38"/>
      <c r="J21" s="38"/>
      <c r="K21" s="8"/>
      <c r="L21" s="8"/>
      <c r="M21" s="26"/>
      <c r="N21" s="270"/>
      <c r="O21" s="270"/>
      <c r="P21" s="270"/>
      <c r="Q21" s="270"/>
      <c r="R21" s="270"/>
    </row>
    <row r="22" spans="1:18" s="272" customFormat="1" ht="12.75" customHeight="1">
      <c r="B22" s="905"/>
      <c r="C22" s="675" t="s">
        <v>295</v>
      </c>
      <c r="D22" s="678" t="s">
        <v>263</v>
      </c>
      <c r="E22" s="912"/>
      <c r="F22" s="724" t="str">
        <f>IF('Język - Language'!$B$30="Polski","Flat Fee / tydzień","Flat Fee / 1 week")</f>
        <v>Flat Fee / tydzień</v>
      </c>
      <c r="G22" s="916">
        <v>50000</v>
      </c>
      <c r="H22" s="917"/>
      <c r="I22" s="38"/>
      <c r="J22" s="38"/>
      <c r="K22" s="8"/>
      <c r="L22" s="8"/>
      <c r="M22" s="26"/>
      <c r="N22" s="270"/>
      <c r="O22" s="270"/>
      <c r="P22" s="270"/>
      <c r="Q22" s="270"/>
      <c r="R22" s="270"/>
    </row>
    <row r="23" spans="1:18" s="85" customFormat="1" ht="12.75" customHeight="1">
      <c r="A23" s="272"/>
      <c r="B23" s="905"/>
      <c r="C23" s="195" t="s">
        <v>30</v>
      </c>
      <c r="D23" s="911" t="s">
        <v>252</v>
      </c>
      <c r="E23" s="919" t="s">
        <v>248</v>
      </c>
      <c r="F23" s="725"/>
      <c r="G23" s="907">
        <v>25000</v>
      </c>
      <c r="H23" s="908"/>
      <c r="I23" s="38"/>
      <c r="J23" s="38"/>
      <c r="K23" s="8"/>
      <c r="L23" s="8"/>
      <c r="M23" s="26"/>
      <c r="N23" s="270"/>
      <c r="O23" s="270"/>
      <c r="P23" s="270"/>
      <c r="Q23" s="270"/>
      <c r="R23" s="270"/>
    </row>
    <row r="24" spans="1:18" s="85" customFormat="1" ht="12.75" customHeight="1">
      <c r="A24" s="272"/>
      <c r="B24" s="905"/>
      <c r="C24" s="187" t="s">
        <v>31</v>
      </c>
      <c r="D24" s="919"/>
      <c r="E24" s="919"/>
      <c r="F24" s="725"/>
      <c r="G24" s="920">
        <v>20000</v>
      </c>
      <c r="H24" s="921"/>
      <c r="I24" s="38"/>
      <c r="J24" s="38"/>
      <c r="K24" s="8"/>
      <c r="L24" s="8"/>
      <c r="M24" s="26"/>
      <c r="N24" s="270"/>
      <c r="O24" s="270"/>
      <c r="P24" s="270"/>
      <c r="Q24" s="270"/>
      <c r="R24" s="270"/>
    </row>
    <row r="25" spans="1:18" s="85" customFormat="1" ht="12.75" customHeight="1">
      <c r="A25" s="272"/>
      <c r="B25" s="905"/>
      <c r="C25" s="187" t="s">
        <v>32</v>
      </c>
      <c r="D25" s="919"/>
      <c r="E25" s="919"/>
      <c r="F25" s="725"/>
      <c r="G25" s="920">
        <v>20000</v>
      </c>
      <c r="H25" s="921"/>
      <c r="I25" s="38"/>
      <c r="J25" s="38"/>
      <c r="K25" s="8"/>
      <c r="L25" s="8"/>
      <c r="M25" s="26"/>
      <c r="N25" s="270"/>
      <c r="O25" s="270"/>
      <c r="P25" s="270"/>
      <c r="Q25" s="270"/>
      <c r="R25" s="270"/>
    </row>
    <row r="26" spans="1:18" s="85" customFormat="1" ht="12.75" customHeight="1">
      <c r="A26" s="272"/>
      <c r="B26" s="905"/>
      <c r="C26" s="186" t="s">
        <v>33</v>
      </c>
      <c r="D26" s="919"/>
      <c r="E26" s="919"/>
      <c r="F26" s="725"/>
      <c r="G26" s="920">
        <v>20000</v>
      </c>
      <c r="H26" s="921"/>
      <c r="I26" s="38"/>
      <c r="J26" s="38"/>
      <c r="K26" s="8"/>
      <c r="L26" s="8"/>
      <c r="M26" s="26"/>
      <c r="N26" s="270"/>
      <c r="O26" s="270"/>
      <c r="P26" s="270"/>
      <c r="Q26" s="270"/>
      <c r="R26" s="270"/>
    </row>
    <row r="27" spans="1:18" s="272" customFormat="1" ht="12.75" customHeight="1">
      <c r="B27" s="905"/>
      <c r="C27" s="186" t="s">
        <v>27</v>
      </c>
      <c r="D27" s="919"/>
      <c r="E27" s="919"/>
      <c r="F27" s="725"/>
      <c r="G27" s="920">
        <v>240000</v>
      </c>
      <c r="H27" s="921"/>
      <c r="I27" s="38"/>
      <c r="J27" s="38"/>
      <c r="K27" s="8"/>
      <c r="L27" s="8"/>
      <c r="M27" s="26"/>
      <c r="N27" s="270"/>
      <c r="O27" s="270"/>
      <c r="P27" s="270"/>
      <c r="Q27" s="270"/>
      <c r="R27" s="270"/>
    </row>
    <row r="28" spans="1:18" s="125" customFormat="1" ht="12.75" customHeight="1">
      <c r="A28" s="272"/>
      <c r="B28" s="905"/>
      <c r="C28" s="316" t="str">
        <f>IF('Język - Language'!$B$30="Polski","dobreprogramy.pl¹","dobreprogramy.pl¹")</f>
        <v>dobreprogramy.pl¹</v>
      </c>
      <c r="D28" s="919"/>
      <c r="E28" s="919"/>
      <c r="F28" s="726"/>
      <c r="G28" s="909">
        <v>25000</v>
      </c>
      <c r="H28" s="910"/>
      <c r="I28" s="38"/>
      <c r="J28" s="38"/>
      <c r="K28" s="8"/>
      <c r="L28" s="8"/>
      <c r="M28" s="26"/>
      <c r="N28" s="270"/>
      <c r="O28" s="270"/>
      <c r="P28" s="270"/>
      <c r="Q28" s="270"/>
      <c r="R28" s="270"/>
    </row>
    <row r="29" spans="1:18" s="85" customFormat="1" ht="12.75" customHeight="1">
      <c r="A29" s="272"/>
      <c r="B29" s="905"/>
      <c r="C29" s="315" t="s">
        <v>34</v>
      </c>
      <c r="D29" s="919"/>
      <c r="E29" s="919"/>
      <c r="F29" s="724" t="str">
        <f>IF('Język - Language'!$B$30="Polski","Flat Fee / dzień","Flat Fee / 1 day")</f>
        <v>Flat Fee / dzień</v>
      </c>
      <c r="G29" s="907">
        <v>60000</v>
      </c>
      <c r="H29" s="908"/>
      <c r="I29" s="38"/>
      <c r="J29" s="38"/>
      <c r="K29" s="8"/>
      <c r="L29" s="8"/>
      <c r="M29" s="26"/>
      <c r="N29" s="270"/>
      <c r="O29" s="270"/>
      <c r="P29" s="270"/>
      <c r="Q29" s="270"/>
      <c r="R29" s="270"/>
    </row>
    <row r="30" spans="1:18" s="85" customFormat="1" ht="12.75" customHeight="1">
      <c r="A30" s="272"/>
      <c r="B30" s="906"/>
      <c r="C30" s="672" t="s">
        <v>35</v>
      </c>
      <c r="D30" s="912"/>
      <c r="E30" s="919"/>
      <c r="F30" s="725"/>
      <c r="G30" s="957">
        <v>20000</v>
      </c>
      <c r="H30" s="958"/>
      <c r="I30" s="38"/>
      <c r="J30" s="38"/>
      <c r="K30" s="8"/>
      <c r="L30" s="8"/>
      <c r="M30" s="26"/>
      <c r="N30" s="270"/>
      <c r="O30" s="270"/>
      <c r="P30" s="270"/>
      <c r="Q30" s="270"/>
      <c r="R30" s="270"/>
    </row>
    <row r="31" spans="1:18" ht="25.5" customHeight="1">
      <c r="A31" s="272"/>
      <c r="B31" s="272"/>
      <c r="C31" s="193" t="str">
        <f>IF('Język - Language'!$B$30="Polski",CONCATENATE("POZOSTAŁE EMISJE FLAT FEE",CHAR(10),"MIEJSCE EMISJI"),CONCATENATE("OTHER FLAT FEE EMISSION",CHAR(10),"PLACE OF EMISSION"))</f>
        <v>POZOSTAŁE EMISJE FLAT FEE
MIEJSCE EMISJI</v>
      </c>
      <c r="D31" s="374" t="str">
        <f>IF('Język - Language'!$B$30="Polski","SEKCJA","PLACE OF EMISSION")</f>
        <v>SEKCJA</v>
      </c>
      <c r="E31" s="663" t="s">
        <v>25</v>
      </c>
      <c r="F31" s="374" t="str">
        <f>IF('Język - Language'!$B$30="Polski","MODEL EMISJI","MODEL OF EMISSION")</f>
        <v>MODEL EMISJI</v>
      </c>
      <c r="G31" s="733" t="str">
        <f>IF('Język - Language'!$B$30="Polski","CENA net net","net net PRICE")</f>
        <v>CENA net net</v>
      </c>
      <c r="H31" s="733"/>
      <c r="I31" s="272"/>
      <c r="J31" s="272"/>
      <c r="K31" s="272"/>
      <c r="L31" s="272"/>
      <c r="M31" s="272"/>
      <c r="N31" s="272"/>
      <c r="O31" s="272"/>
      <c r="P31" s="272"/>
    </row>
    <row r="32" spans="1:18" s="272" customFormat="1" ht="12.75" customHeight="1">
      <c r="B32" s="905" t="s">
        <v>29</v>
      </c>
      <c r="C32" s="949" t="s">
        <v>26</v>
      </c>
      <c r="D32" s="458" t="s">
        <v>164</v>
      </c>
      <c r="E32" s="951" t="str">
        <f>IF('Język - Language'!$B$30="Polski","Linkt tesktowy w sekcji na WP SG (kierujący na zewnątrz)","Text link in the selected section of WP Home Page (linking outside)")</f>
        <v>Linkt tesktowy w sekcji na WP SG (kierujący na zewnątrz)</v>
      </c>
      <c r="F32" s="951" t="str">
        <f>IF('Język - Language'!$B$30="Polski","Flat Fee / dzień","Flat Fee / 1 day")</f>
        <v>Flat Fee / dzień</v>
      </c>
      <c r="G32" s="941" t="s">
        <v>179</v>
      </c>
      <c r="H32" s="942"/>
    </row>
    <row r="33" spans="1:18" s="272" customFormat="1" ht="12.75" customHeight="1">
      <c r="B33" s="905"/>
      <c r="C33" s="949"/>
      <c r="D33" s="459" t="s">
        <v>45</v>
      </c>
      <c r="E33" s="951"/>
      <c r="F33" s="951"/>
      <c r="G33" s="943" t="s">
        <v>180</v>
      </c>
      <c r="H33" s="944"/>
    </row>
    <row r="34" spans="1:18" s="272" customFormat="1" ht="12.75" customHeight="1">
      <c r="B34" s="905"/>
      <c r="C34" s="950"/>
      <c r="D34" s="457" t="s">
        <v>166</v>
      </c>
      <c r="E34" s="952"/>
      <c r="F34" s="952"/>
      <c r="G34" s="943" t="s">
        <v>180</v>
      </c>
      <c r="H34" s="944"/>
    </row>
    <row r="35" spans="1:18" s="77" customFormat="1" ht="12.75" customHeight="1">
      <c r="A35" s="272"/>
      <c r="B35" s="905"/>
      <c r="C35" s="953" t="s">
        <v>251</v>
      </c>
      <c r="D35" s="915" t="s">
        <v>279</v>
      </c>
      <c r="E35" s="915" t="s">
        <v>286</v>
      </c>
      <c r="F35" s="412" t="str">
        <f>IF('Język - Language'!$B$30="Polski","Flat Fee / dzień","Flat Fee / 1 day")</f>
        <v>Flat Fee / dzień</v>
      </c>
      <c r="G35" s="945" t="s">
        <v>180</v>
      </c>
      <c r="H35" s="946"/>
      <c r="I35" s="78"/>
      <c r="J35" s="272"/>
      <c r="K35" s="272"/>
      <c r="L35" s="272"/>
      <c r="M35" s="272"/>
      <c r="N35" s="272"/>
      <c r="O35" s="272"/>
      <c r="P35" s="272"/>
    </row>
    <row r="36" spans="1:18" s="77" customFormat="1" ht="12.75" customHeight="1">
      <c r="A36" s="272"/>
      <c r="B36" s="905"/>
      <c r="C36" s="954"/>
      <c r="D36" s="914"/>
      <c r="E36" s="914"/>
      <c r="F36" s="668" t="str">
        <f>IF('Język - Language'!$B$30="Polski","Flat Fee / tydzień","Flat Fee / 1 week")</f>
        <v>Flat Fee / tydzień</v>
      </c>
      <c r="G36" s="947" t="s">
        <v>253</v>
      </c>
      <c r="H36" s="948"/>
      <c r="I36" s="78"/>
      <c r="J36" s="272"/>
      <c r="K36" s="272"/>
      <c r="L36" s="272"/>
      <c r="M36" s="272"/>
      <c r="N36" s="272"/>
      <c r="O36" s="272"/>
      <c r="P36" s="272"/>
    </row>
    <row r="37" spans="1:18">
      <c r="C37" s="189" t="str">
        <f>IF('Język - Language'!$B$30="Polski","¹ cena uzależniona od statystyk w wybrane dni ","¹ price depends on daily statistics on a given day")</f>
        <v xml:space="preserve">¹ cena uzależniona od statystyk w wybrane dni </v>
      </c>
      <c r="D37" s="289"/>
      <c r="E37" s="289"/>
      <c r="F37" s="289"/>
      <c r="G37" s="289"/>
      <c r="H37" s="289"/>
      <c r="I37" s="272"/>
      <c r="J37" s="272"/>
      <c r="K37" s="272"/>
      <c r="L37" s="78"/>
      <c r="M37" s="272"/>
      <c r="N37" s="272"/>
      <c r="O37" s="272"/>
    </row>
    <row r="38" spans="1:18" s="125" customFormat="1" ht="12.75" customHeight="1">
      <c r="A38" s="272"/>
      <c r="B38" s="270"/>
      <c r="C38" s="206" t="str">
        <f>IF('Język - Language'!$B$30="Polski","¹ emisja z wyłączeniem forum.dobreprogramy.pl","¹ emission without section forum.dobreprogramy.pl")</f>
        <v>¹ emisja z wyłączeniem forum.dobreprogramy.pl</v>
      </c>
      <c r="D38" s="324"/>
      <c r="E38" s="192"/>
      <c r="F38" s="192"/>
      <c r="G38" s="192"/>
      <c r="H38" s="192"/>
      <c r="I38" s="38"/>
      <c r="J38" s="38"/>
      <c r="K38" s="8"/>
      <c r="L38" s="8"/>
      <c r="M38" s="26"/>
      <c r="N38" s="270"/>
      <c r="O38" s="270"/>
      <c r="P38" s="270"/>
      <c r="Q38" s="270"/>
      <c r="R38" s="270"/>
    </row>
    <row r="39" spans="1:18" s="109" customFormat="1" ht="12.75" customHeight="1">
      <c r="A39" s="272"/>
      <c r="B39" s="272"/>
      <c r="C39" s="128"/>
      <c r="D39" s="128"/>
      <c r="E39" s="79"/>
      <c r="F39" s="79"/>
      <c r="G39" s="38"/>
      <c r="H39" s="38"/>
      <c r="I39" s="8"/>
      <c r="J39" s="8"/>
      <c r="K39" s="26"/>
      <c r="L39" s="270"/>
      <c r="M39" s="270"/>
      <c r="N39" s="270"/>
      <c r="O39" s="270"/>
      <c r="P39" s="270"/>
      <c r="Q39" s="272"/>
      <c r="R39" s="272"/>
    </row>
    <row r="40" spans="1:18" s="104" customFormat="1">
      <c r="A40" s="272"/>
      <c r="B40" s="272"/>
      <c r="C40" s="128"/>
      <c r="D40" s="128"/>
      <c r="E40" s="79"/>
      <c r="F40" s="79"/>
      <c r="G40" s="38"/>
      <c r="H40" s="38"/>
      <c r="I40" s="8"/>
      <c r="J40" s="8"/>
      <c r="K40" s="26"/>
      <c r="L40" s="270"/>
      <c r="M40" s="270"/>
      <c r="N40" s="270"/>
      <c r="O40" s="270"/>
      <c r="P40" s="270"/>
      <c r="Q40" s="272"/>
      <c r="R40" s="272"/>
    </row>
    <row r="41" spans="1:18" s="107" customFormat="1" ht="25.5" customHeight="1">
      <c r="A41" s="272"/>
      <c r="B41" s="272"/>
      <c r="C41" s="922" t="str">
        <f>IF('Język - Language'!$B$30="Polski",CONCATENATE("NAGŁÓWEK SPONSOROWANY",CHAR(10),"MIEJSCE EMISJI"),CONCATENATE("SPONSORED HEADING",CHAR(10),"PLACE OF EMISSION"))</f>
        <v>NAGŁÓWEK SPONSOROWANY
MIEJSCE EMISJI</v>
      </c>
      <c r="D41" s="922"/>
      <c r="E41" s="933" t="str">
        <f>IF('Język - Language'!$B$30="Polski",CONCATENATE("Nagłówek sponsorowany standard",CHAR(10),"(FF / tydzień)"),CONCATENATE("Sponsored heading standard",CHAR(10),"(FF / week)"))</f>
        <v>Nagłówek sponsorowany standard
(FF / tydzień)</v>
      </c>
      <c r="F41" s="933"/>
      <c r="G41" s="933" t="str">
        <f>IF('Język - Language'!$B$30="Polski","Nagłówek sponsorowany (FF / tydzień) + tapeta (cap 1xuu / dzień)","Sponsored heading (FF / week) + Wallpaper (cap 1xuu / day)")</f>
        <v>Nagłówek sponsorowany (FF / tydzień) + tapeta (cap 1xuu / dzień)</v>
      </c>
      <c r="H41" s="938"/>
      <c r="I41" s="7"/>
      <c r="J41" s="297"/>
      <c r="K41" s="297"/>
      <c r="L41" s="272"/>
      <c r="M41" s="272"/>
      <c r="N41" s="272"/>
      <c r="O41" s="272"/>
      <c r="P41" s="272"/>
      <c r="Q41" s="272"/>
      <c r="R41" s="272"/>
    </row>
    <row r="42" spans="1:18" s="107" customFormat="1" ht="12.75" customHeight="1">
      <c r="A42" s="272"/>
      <c r="B42" s="905" t="s">
        <v>29</v>
      </c>
      <c r="C42" s="923" t="s">
        <v>38</v>
      </c>
      <c r="D42" s="924"/>
      <c r="E42" s="939">
        <v>60000</v>
      </c>
      <c r="F42" s="940"/>
      <c r="G42" s="939">
        <v>80000</v>
      </c>
      <c r="H42" s="940"/>
      <c r="I42" s="230"/>
      <c r="J42" s="297"/>
      <c r="K42" s="297"/>
      <c r="L42" s="297"/>
      <c r="M42" s="272"/>
      <c r="N42" s="270"/>
      <c r="O42" s="272"/>
      <c r="P42" s="272"/>
      <c r="Q42" s="272"/>
      <c r="R42" s="272"/>
    </row>
    <row r="43" spans="1:18" s="107" customFormat="1" ht="12.75" customHeight="1">
      <c r="A43" s="272"/>
      <c r="B43" s="905"/>
      <c r="C43" s="925" t="s">
        <v>154</v>
      </c>
      <c r="D43" s="926"/>
      <c r="E43" s="903">
        <v>150000</v>
      </c>
      <c r="F43" s="904"/>
      <c r="G43" s="903">
        <v>210000</v>
      </c>
      <c r="H43" s="904"/>
      <c r="I43" s="230"/>
      <c r="J43" s="297"/>
      <c r="K43" s="297"/>
      <c r="L43" s="297"/>
      <c r="M43" s="272"/>
      <c r="N43" s="270"/>
      <c r="O43" s="272"/>
      <c r="P43" s="272"/>
      <c r="Q43" s="272"/>
      <c r="R43" s="272"/>
    </row>
    <row r="44" spans="1:18" s="107" customFormat="1" ht="12.75" customHeight="1">
      <c r="A44" s="272"/>
      <c r="B44" s="905"/>
      <c r="C44" s="925" t="s">
        <v>36</v>
      </c>
      <c r="D44" s="926"/>
      <c r="E44" s="903">
        <v>230000</v>
      </c>
      <c r="F44" s="904"/>
      <c r="G44" s="903">
        <v>290000</v>
      </c>
      <c r="H44" s="904"/>
      <c r="I44" s="230"/>
      <c r="J44" s="297"/>
      <c r="K44" s="297"/>
      <c r="L44" s="297"/>
      <c r="M44" s="272"/>
      <c r="N44" s="270"/>
      <c r="O44" s="272"/>
      <c r="P44" s="272"/>
      <c r="Q44" s="272"/>
      <c r="R44" s="272"/>
    </row>
    <row r="45" spans="1:18" s="107" customFormat="1" ht="12.75" customHeight="1">
      <c r="A45" s="272"/>
      <c r="B45" s="905"/>
      <c r="C45" s="925" t="s">
        <v>27</v>
      </c>
      <c r="D45" s="926"/>
      <c r="E45" s="903">
        <v>200000</v>
      </c>
      <c r="F45" s="904"/>
      <c r="G45" s="903">
        <v>280000</v>
      </c>
      <c r="H45" s="904"/>
      <c r="I45" s="230"/>
      <c r="J45" s="297"/>
      <c r="K45" s="297"/>
      <c r="L45" s="297"/>
      <c r="M45" s="272"/>
      <c r="N45" s="270"/>
      <c r="O45" s="272"/>
      <c r="P45" s="272"/>
      <c r="Q45" s="272"/>
      <c r="R45" s="272"/>
    </row>
    <row r="46" spans="1:18" s="110" customFormat="1" ht="12.75" customHeight="1">
      <c r="A46" s="272"/>
      <c r="B46" s="905"/>
      <c r="C46" s="925" t="s">
        <v>30</v>
      </c>
      <c r="D46" s="926"/>
      <c r="E46" s="903">
        <v>30000</v>
      </c>
      <c r="F46" s="904"/>
      <c r="G46" s="903">
        <v>40000</v>
      </c>
      <c r="H46" s="904"/>
      <c r="I46" s="230"/>
      <c r="J46" s="297"/>
      <c r="K46" s="297"/>
      <c r="L46" s="297"/>
      <c r="M46" s="272"/>
      <c r="N46" s="270"/>
      <c r="O46" s="272"/>
      <c r="P46" s="272"/>
      <c r="Q46" s="272"/>
      <c r="R46" s="272"/>
    </row>
    <row r="47" spans="1:18" s="107" customFormat="1" ht="12.75" customHeight="1">
      <c r="A47" s="272"/>
      <c r="B47" s="905"/>
      <c r="C47" s="925" t="s">
        <v>37</v>
      </c>
      <c r="D47" s="926"/>
      <c r="E47" s="903">
        <v>25000</v>
      </c>
      <c r="F47" s="904"/>
      <c r="G47" s="903">
        <v>30000</v>
      </c>
      <c r="H47" s="904"/>
      <c r="I47" s="230"/>
      <c r="J47" s="297"/>
      <c r="K47" s="297"/>
      <c r="L47" s="297"/>
      <c r="M47" s="272"/>
      <c r="N47" s="270"/>
      <c r="O47" s="272"/>
      <c r="P47" s="272"/>
      <c r="Q47" s="272"/>
      <c r="R47" s="272"/>
    </row>
    <row r="48" spans="1:18" s="110" customFormat="1" ht="12.75" customHeight="1">
      <c r="A48" s="272"/>
      <c r="B48" s="905"/>
      <c r="C48" s="925" t="s">
        <v>39</v>
      </c>
      <c r="D48" s="926"/>
      <c r="E48" s="903">
        <v>32000</v>
      </c>
      <c r="F48" s="904"/>
      <c r="G48" s="903">
        <v>45000</v>
      </c>
      <c r="H48" s="904"/>
      <c r="I48" s="230"/>
      <c r="J48" s="297"/>
      <c r="K48" s="297"/>
      <c r="L48" s="297"/>
      <c r="M48" s="272"/>
      <c r="N48" s="270"/>
      <c r="O48" s="272"/>
      <c r="P48" s="272"/>
      <c r="Q48" s="272"/>
      <c r="R48" s="272"/>
    </row>
    <row r="49" spans="1:17" s="110" customFormat="1" ht="12.75" customHeight="1">
      <c r="A49" s="272"/>
      <c r="B49" s="905"/>
      <c r="C49" s="925" t="s">
        <v>139</v>
      </c>
      <c r="D49" s="926"/>
      <c r="E49" s="903">
        <v>30000</v>
      </c>
      <c r="F49" s="904"/>
      <c r="G49" s="903">
        <v>40000</v>
      </c>
      <c r="H49" s="904"/>
      <c r="I49" s="230"/>
      <c r="J49" s="297"/>
      <c r="K49" s="297"/>
      <c r="L49" s="297"/>
      <c r="M49" s="272"/>
      <c r="N49" s="270"/>
    </row>
    <row r="50" spans="1:17" s="110" customFormat="1" ht="12.75" customHeight="1">
      <c r="A50" s="272"/>
      <c r="B50" s="905"/>
      <c r="C50" s="925" t="s">
        <v>41</v>
      </c>
      <c r="D50" s="926"/>
      <c r="E50" s="903">
        <v>65000</v>
      </c>
      <c r="F50" s="904"/>
      <c r="G50" s="903">
        <v>85000</v>
      </c>
      <c r="H50" s="904"/>
      <c r="I50" s="230"/>
      <c r="J50" s="297"/>
      <c r="K50" s="297"/>
      <c r="L50" s="297"/>
      <c r="M50" s="272"/>
      <c r="N50" s="270"/>
    </row>
    <row r="51" spans="1:17" s="110" customFormat="1" ht="12.75" customHeight="1">
      <c r="A51" s="272"/>
      <c r="B51" s="905"/>
      <c r="C51" s="925" t="s">
        <v>43</v>
      </c>
      <c r="D51" s="926"/>
      <c r="E51" s="903">
        <v>25000</v>
      </c>
      <c r="F51" s="904"/>
      <c r="G51" s="903">
        <v>30000</v>
      </c>
      <c r="H51" s="904"/>
      <c r="I51" s="230"/>
      <c r="J51" s="297"/>
      <c r="K51" s="297"/>
      <c r="L51" s="297"/>
      <c r="M51" s="272"/>
      <c r="N51" s="270"/>
    </row>
    <row r="52" spans="1:17" s="110" customFormat="1" ht="12.75" customHeight="1">
      <c r="A52" s="272"/>
      <c r="B52" s="905"/>
      <c r="C52" s="925" t="s">
        <v>40</v>
      </c>
      <c r="D52" s="926"/>
      <c r="E52" s="903">
        <v>25000</v>
      </c>
      <c r="F52" s="904"/>
      <c r="G52" s="903">
        <v>30000</v>
      </c>
      <c r="H52" s="904"/>
      <c r="I52" s="230"/>
      <c r="J52" s="297"/>
      <c r="K52" s="297"/>
      <c r="L52" s="297"/>
      <c r="M52" s="272"/>
      <c r="N52" s="270"/>
    </row>
    <row r="53" spans="1:17" s="107" customFormat="1" ht="12.75" customHeight="1">
      <c r="A53" s="272"/>
      <c r="B53" s="905"/>
      <c r="C53" s="955" t="s">
        <v>34</v>
      </c>
      <c r="D53" s="956"/>
      <c r="E53" s="931">
        <v>80000</v>
      </c>
      <c r="F53" s="932"/>
      <c r="G53" s="931">
        <v>100000</v>
      </c>
      <c r="H53" s="932"/>
      <c r="I53" s="230"/>
      <c r="J53" s="297"/>
      <c r="K53" s="297"/>
      <c r="L53" s="297"/>
      <c r="M53" s="272"/>
      <c r="N53" s="270"/>
    </row>
    <row r="54" spans="1:17" s="229" customFormat="1" ht="12.75" customHeight="1">
      <c r="A54" s="272"/>
      <c r="B54" s="226"/>
      <c r="C54" s="228"/>
      <c r="D54" s="228"/>
      <c r="E54" s="227"/>
      <c r="F54" s="227"/>
      <c r="G54" s="227"/>
      <c r="H54" s="227"/>
      <c r="I54" s="230"/>
      <c r="J54" s="297"/>
      <c r="K54" s="297"/>
      <c r="L54" s="297"/>
      <c r="M54" s="272"/>
      <c r="N54" s="270"/>
    </row>
    <row r="55" spans="1:17" s="109" customFormat="1" ht="12.75" customHeight="1">
      <c r="A55" s="272"/>
      <c r="B55" s="272"/>
      <c r="C55" s="111"/>
      <c r="D55" s="111"/>
      <c r="E55" s="112"/>
      <c r="F55" s="112"/>
      <c r="G55" s="112"/>
      <c r="H55" s="112"/>
      <c r="I55" s="297"/>
      <c r="J55" s="297"/>
      <c r="K55" s="297"/>
      <c r="L55" s="272"/>
      <c r="M55" s="270"/>
      <c r="N55" s="272"/>
    </row>
    <row r="56" spans="1:17" s="116" customFormat="1" ht="12.75" customHeight="1">
      <c r="A56" s="272"/>
      <c r="B56" s="272"/>
      <c r="C56" s="934" t="str">
        <f>IF('Język - Language'!$B$30="Polski",CONCATENATE("SPONSORING NAGŁÓWKA SEKCJI WP SG",CHAR(10),"MIEJSCE EMISJI"),CONCATENATE("SPONSORING OF WP HP SECTION HEADING",CHAR(10),"PLACE OF EMISSION"))</f>
        <v>SPONSORING NAGŁÓWKA SEKCJI WP SG
MIEJSCE EMISJI</v>
      </c>
      <c r="D56" s="934"/>
      <c r="E56" s="935" t="str">
        <f>IF('Język - Language'!$B$30="Polski","MODEL EMISJI","MODEL OF EMISSION")</f>
        <v>MODEL EMISJI</v>
      </c>
      <c r="F56" s="936" t="s">
        <v>181</v>
      </c>
      <c r="G56" s="936"/>
      <c r="H56" s="937"/>
      <c r="I56" s="297"/>
      <c r="J56" s="297"/>
      <c r="K56" s="297"/>
      <c r="L56" s="272"/>
      <c r="M56" s="270"/>
      <c r="N56" s="272"/>
    </row>
    <row r="57" spans="1:17" s="272" customFormat="1" ht="12.75" customHeight="1">
      <c r="C57" s="934"/>
      <c r="D57" s="934"/>
      <c r="E57" s="935"/>
      <c r="F57" s="207" t="str">
        <f>IF('Język - Language'!$B$30="Polski","DZIEŃ","1 DAY")</f>
        <v>DZIEŃ</v>
      </c>
      <c r="G57" s="207" t="str">
        <f>IF('Język - Language'!$B$30="Polski","TYDZIEŃ","1 WEEK")</f>
        <v>TYDZIEŃ</v>
      </c>
      <c r="H57" s="208" t="str">
        <f>IF('Język - Language'!$B$30="Polski","MIESIĄC","1 MONTH")</f>
        <v>MIESIĄC</v>
      </c>
      <c r="I57" s="455"/>
      <c r="J57" s="455"/>
      <c r="K57" s="455"/>
      <c r="M57" s="270"/>
    </row>
    <row r="58" spans="1:17" s="116" customFormat="1" ht="12.75" customHeight="1">
      <c r="A58" s="272"/>
      <c r="B58" s="905" t="s">
        <v>29</v>
      </c>
      <c r="C58" s="595" t="s">
        <v>45</v>
      </c>
      <c r="D58" s="196"/>
      <c r="E58" s="929" t="str">
        <f>IF('Język - Language'!$B$30="Polski","Flat Fee","Flat Fee")</f>
        <v>Flat Fee</v>
      </c>
      <c r="F58" s="589">
        <v>39600</v>
      </c>
      <c r="G58" s="589">
        <v>198000</v>
      </c>
      <c r="H58" s="590">
        <v>495000</v>
      </c>
      <c r="I58" s="297"/>
      <c r="J58" s="297"/>
      <c r="K58" s="297"/>
      <c r="L58" s="272"/>
      <c r="M58" s="270"/>
      <c r="N58" s="272"/>
    </row>
    <row r="59" spans="1:17" s="116" customFormat="1" ht="12.75" customHeight="1">
      <c r="A59" s="272"/>
      <c r="B59" s="905"/>
      <c r="C59" s="596" t="s">
        <v>46</v>
      </c>
      <c r="D59" s="197"/>
      <c r="E59" s="929"/>
      <c r="F59" s="591">
        <v>32760</v>
      </c>
      <c r="G59" s="591">
        <v>163800</v>
      </c>
      <c r="H59" s="592">
        <v>409500</v>
      </c>
      <c r="I59" s="297"/>
      <c r="J59" s="297"/>
      <c r="K59" s="297"/>
      <c r="L59" s="272"/>
      <c r="M59" s="270"/>
      <c r="N59" s="272"/>
    </row>
    <row r="60" spans="1:17" s="116" customFormat="1" ht="12.75" customHeight="1">
      <c r="A60" s="272"/>
      <c r="B60" s="905"/>
      <c r="C60" s="596" t="s">
        <v>47</v>
      </c>
      <c r="D60" s="197"/>
      <c r="E60" s="929"/>
      <c r="F60" s="591">
        <v>29160</v>
      </c>
      <c r="G60" s="591">
        <v>145800</v>
      </c>
      <c r="H60" s="591">
        <v>364500</v>
      </c>
      <c r="I60" s="297"/>
      <c r="J60" s="297"/>
      <c r="K60" s="297"/>
      <c r="L60" s="272"/>
      <c r="M60" s="270"/>
      <c r="N60" s="272"/>
    </row>
    <row r="61" spans="1:17" s="116" customFormat="1" ht="12.75" customHeight="1">
      <c r="A61" s="272"/>
      <c r="B61" s="905"/>
      <c r="C61" s="596" t="s">
        <v>48</v>
      </c>
      <c r="D61" s="197"/>
      <c r="E61" s="929"/>
      <c r="F61" s="591">
        <v>22680</v>
      </c>
      <c r="G61" s="591">
        <v>113400</v>
      </c>
      <c r="H61" s="591">
        <v>283500</v>
      </c>
      <c r="I61" s="297"/>
      <c r="J61" s="297"/>
      <c r="K61" s="297"/>
      <c r="L61" s="272"/>
      <c r="M61" s="270"/>
      <c r="N61" s="272"/>
    </row>
    <row r="62" spans="1:17" s="117" customFormat="1" ht="12.75" customHeight="1">
      <c r="A62" s="272"/>
      <c r="B62" s="905"/>
      <c r="C62" s="596" t="s">
        <v>49</v>
      </c>
      <c r="D62" s="197"/>
      <c r="E62" s="929"/>
      <c r="F62" s="591">
        <v>25560</v>
      </c>
      <c r="G62" s="591">
        <v>127800</v>
      </c>
      <c r="H62" s="592">
        <v>319500</v>
      </c>
      <c r="I62" s="297"/>
      <c r="J62" s="297"/>
      <c r="K62" s="297"/>
      <c r="L62" s="272"/>
      <c r="M62" s="270"/>
      <c r="N62" s="272"/>
    </row>
    <row r="63" spans="1:17" s="118" customFormat="1" ht="12.75" customHeight="1">
      <c r="A63" s="272"/>
      <c r="B63" s="905"/>
      <c r="C63" s="597" t="s">
        <v>50</v>
      </c>
      <c r="D63" s="197"/>
      <c r="E63" s="929"/>
      <c r="F63" s="591">
        <v>24120</v>
      </c>
      <c r="G63" s="592">
        <v>120600</v>
      </c>
      <c r="H63" s="592">
        <v>301500</v>
      </c>
      <c r="I63" s="297"/>
      <c r="J63" s="297"/>
      <c r="K63" s="297"/>
      <c r="L63" s="272"/>
      <c r="M63" s="270"/>
      <c r="N63" s="272"/>
      <c r="O63" s="272"/>
      <c r="P63" s="272"/>
      <c r="Q63" s="272"/>
    </row>
    <row r="64" spans="1:17" s="118" customFormat="1" ht="12.75" customHeight="1">
      <c r="A64" s="272"/>
      <c r="B64" s="905"/>
      <c r="C64" s="598" t="s">
        <v>51</v>
      </c>
      <c r="D64" s="198"/>
      <c r="E64" s="930"/>
      <c r="F64" s="593">
        <v>21600</v>
      </c>
      <c r="G64" s="594">
        <v>108000</v>
      </c>
      <c r="H64" s="594">
        <v>270000</v>
      </c>
      <c r="I64" s="297"/>
      <c r="J64" s="297"/>
      <c r="K64" s="297"/>
      <c r="L64" s="272"/>
      <c r="M64" s="270"/>
      <c r="N64" s="272"/>
      <c r="O64" s="272"/>
      <c r="P64" s="272"/>
      <c r="Q64" s="272"/>
    </row>
    <row r="65" spans="1:17" s="229" customFormat="1" ht="12.75" customHeight="1">
      <c r="A65" s="272"/>
      <c r="B65" s="226"/>
      <c r="C65" s="224"/>
      <c r="D65" s="224"/>
      <c r="E65" s="317"/>
      <c r="F65" s="225"/>
      <c r="G65" s="225"/>
      <c r="H65" s="225"/>
      <c r="I65" s="297"/>
      <c r="J65" s="297"/>
      <c r="K65" s="297"/>
      <c r="L65" s="272"/>
      <c r="M65" s="270"/>
      <c r="N65" s="272"/>
      <c r="O65" s="272"/>
      <c r="P65" s="272"/>
      <c r="Q65" s="272"/>
    </row>
    <row r="66" spans="1:17">
      <c r="A66" s="272"/>
      <c r="B66" s="272"/>
      <c r="C66" s="32"/>
      <c r="D66" s="32"/>
      <c r="E66" s="32"/>
      <c r="F66" s="32"/>
      <c r="G66" s="32"/>
      <c r="H66" s="32"/>
      <c r="I66" s="32"/>
      <c r="J66" s="32"/>
      <c r="K66" s="32"/>
      <c r="L66" s="32"/>
      <c r="M66" s="32"/>
      <c r="N66" s="32"/>
      <c r="O66" s="32"/>
      <c r="P66" s="78"/>
      <c r="Q66" s="270"/>
    </row>
    <row r="67" spans="1:17" ht="12.75" customHeight="1">
      <c r="C67" s="272"/>
      <c r="D67" s="272"/>
      <c r="E67" s="272"/>
      <c r="F67" s="272"/>
      <c r="G67" s="272"/>
      <c r="H67" s="272"/>
      <c r="I67" s="272"/>
      <c r="J67" s="272"/>
      <c r="K67" s="272"/>
      <c r="L67" s="272"/>
      <c r="M67" s="272"/>
      <c r="N67" s="272"/>
      <c r="O67" s="270"/>
    </row>
    <row r="69" spans="1:17">
      <c r="C69" s="105"/>
      <c r="D69" s="105"/>
      <c r="E69" s="105"/>
      <c r="F69" s="105"/>
      <c r="G69" s="105"/>
      <c r="H69" s="270"/>
      <c r="I69" s="272"/>
      <c r="J69" s="272"/>
      <c r="K69" s="272"/>
      <c r="L69" s="272"/>
      <c r="M69" s="272"/>
      <c r="N69" s="272"/>
      <c r="O69" s="272"/>
    </row>
    <row r="71" spans="1:17" ht="12.75" customHeight="1">
      <c r="A71" s="63"/>
      <c r="C71" s="106"/>
      <c r="D71" s="927"/>
      <c r="E71" s="928"/>
      <c r="F71" s="319"/>
      <c r="G71" s="105"/>
      <c r="H71" s="270"/>
      <c r="I71" s="272"/>
      <c r="J71" s="272"/>
      <c r="K71" s="272"/>
      <c r="L71" s="272"/>
      <c r="M71" s="272"/>
      <c r="N71" s="272"/>
      <c r="O71" s="272"/>
    </row>
    <row r="72" spans="1:17" ht="12.75" customHeight="1">
      <c r="A72" s="63"/>
      <c r="C72" s="106"/>
      <c r="D72" s="927"/>
      <c r="E72" s="928"/>
      <c r="F72" s="319"/>
      <c r="G72" s="105"/>
      <c r="H72" s="270"/>
      <c r="I72" s="272"/>
      <c r="J72" s="272"/>
      <c r="K72" s="272"/>
      <c r="L72" s="272"/>
      <c r="M72" s="272"/>
      <c r="N72" s="272"/>
      <c r="O72" s="272"/>
    </row>
    <row r="73" spans="1:17" ht="12.75" customHeight="1">
      <c r="A73" s="63"/>
      <c r="C73" s="106"/>
      <c r="D73" s="927"/>
      <c r="E73" s="928"/>
      <c r="F73" s="319"/>
      <c r="G73" s="105"/>
      <c r="H73" s="270"/>
      <c r="I73" s="272"/>
      <c r="J73" s="272"/>
      <c r="K73" s="272"/>
      <c r="L73" s="272"/>
      <c r="M73" s="272"/>
      <c r="N73" s="272"/>
      <c r="O73" s="272"/>
    </row>
    <row r="74" spans="1:17" ht="12.75" customHeight="1">
      <c r="A74" s="63"/>
      <c r="C74" s="106"/>
      <c r="D74" s="927"/>
      <c r="E74" s="928"/>
      <c r="F74" s="319"/>
      <c r="G74" s="105"/>
      <c r="H74" s="270"/>
      <c r="I74" s="293"/>
      <c r="J74" s="272"/>
      <c r="K74" s="272"/>
      <c r="L74" s="272"/>
      <c r="M74" s="272"/>
      <c r="N74" s="272"/>
      <c r="O74" s="272"/>
    </row>
    <row r="75" spans="1:17">
      <c r="A75" s="63"/>
      <c r="C75" s="106"/>
      <c r="D75" s="927"/>
      <c r="E75" s="319"/>
      <c r="F75" s="319"/>
      <c r="G75" s="105"/>
      <c r="H75" s="270"/>
      <c r="I75" s="293"/>
      <c r="J75" s="272"/>
      <c r="K75" s="272"/>
      <c r="L75" s="272"/>
      <c r="M75" s="272"/>
      <c r="N75" s="272"/>
      <c r="O75" s="272"/>
    </row>
    <row r="76" spans="1:17">
      <c r="A76" s="63"/>
      <c r="C76" s="272"/>
      <c r="D76" s="272"/>
      <c r="E76" s="272"/>
      <c r="F76" s="272"/>
      <c r="G76" s="272"/>
      <c r="H76" s="272"/>
      <c r="I76" s="293"/>
      <c r="J76" s="272"/>
      <c r="K76" s="272"/>
      <c r="L76" s="272"/>
      <c r="M76" s="272"/>
      <c r="N76" s="272"/>
      <c r="O76" s="272"/>
    </row>
    <row r="77" spans="1:17">
      <c r="A77" s="63"/>
      <c r="C77" s="272"/>
      <c r="D77" s="272"/>
      <c r="E77" s="272"/>
      <c r="F77" s="272"/>
      <c r="G77" s="272"/>
      <c r="H77" s="272"/>
      <c r="I77" s="293"/>
      <c r="J77" s="272"/>
      <c r="K77" s="272"/>
      <c r="L77" s="272"/>
      <c r="M77" s="272"/>
      <c r="N77" s="272"/>
      <c r="O77" s="272"/>
    </row>
  </sheetData>
  <mergeCells count="98">
    <mergeCell ref="F19:F20"/>
    <mergeCell ref="E17:E18"/>
    <mergeCell ref="C7:C8"/>
    <mergeCell ref="E7:E8"/>
    <mergeCell ref="C15:C18"/>
    <mergeCell ref="D9:D14"/>
    <mergeCell ref="C9:C14"/>
    <mergeCell ref="E1:H3"/>
    <mergeCell ref="G7:H7"/>
    <mergeCell ref="F7:F8"/>
    <mergeCell ref="D7:D8"/>
    <mergeCell ref="C53:D53"/>
    <mergeCell ref="G48:H48"/>
    <mergeCell ref="E44:F44"/>
    <mergeCell ref="G45:H45"/>
    <mergeCell ref="G17:H17"/>
    <mergeCell ref="G26:H26"/>
    <mergeCell ref="G24:H24"/>
    <mergeCell ref="G21:H21"/>
    <mergeCell ref="G47:H47"/>
    <mergeCell ref="E47:F47"/>
    <mergeCell ref="E43:F43"/>
    <mergeCell ref="G30:H30"/>
    <mergeCell ref="B58:B64"/>
    <mergeCell ref="B32:B36"/>
    <mergeCell ref="C32:C34"/>
    <mergeCell ref="F32:F34"/>
    <mergeCell ref="C35:C36"/>
    <mergeCell ref="C49:D49"/>
    <mergeCell ref="E49:F49"/>
    <mergeCell ref="C44:D44"/>
    <mergeCell ref="C47:D47"/>
    <mergeCell ref="C48:D48"/>
    <mergeCell ref="C43:D43"/>
    <mergeCell ref="E42:F42"/>
    <mergeCell ref="E32:E34"/>
    <mergeCell ref="E35:E36"/>
    <mergeCell ref="B42:B53"/>
    <mergeCell ref="E48:F48"/>
    <mergeCell ref="G53:H53"/>
    <mergeCell ref="G43:H43"/>
    <mergeCell ref="G27:H27"/>
    <mergeCell ref="G28:H28"/>
    <mergeCell ref="G42:H42"/>
    <mergeCell ref="G31:H31"/>
    <mergeCell ref="G32:H32"/>
    <mergeCell ref="G33:H33"/>
    <mergeCell ref="G34:H34"/>
    <mergeCell ref="G35:H35"/>
    <mergeCell ref="G36:H36"/>
    <mergeCell ref="G51:H51"/>
    <mergeCell ref="G52:H52"/>
    <mergeCell ref="G50:H50"/>
    <mergeCell ref="D71:D75"/>
    <mergeCell ref="E71:E74"/>
    <mergeCell ref="E51:F51"/>
    <mergeCell ref="D35:D36"/>
    <mergeCell ref="E58:E64"/>
    <mergeCell ref="E45:F45"/>
    <mergeCell ref="E52:F52"/>
    <mergeCell ref="C50:D50"/>
    <mergeCell ref="E53:F53"/>
    <mergeCell ref="C51:D51"/>
    <mergeCell ref="C52:D52"/>
    <mergeCell ref="E41:F41"/>
    <mergeCell ref="C56:D57"/>
    <mergeCell ref="E56:E57"/>
    <mergeCell ref="F56:H56"/>
    <mergeCell ref="G41:H41"/>
    <mergeCell ref="C42:D42"/>
    <mergeCell ref="E46:F46"/>
    <mergeCell ref="G44:H44"/>
    <mergeCell ref="G29:H29"/>
    <mergeCell ref="F29:F30"/>
    <mergeCell ref="D23:D30"/>
    <mergeCell ref="F22:F28"/>
    <mergeCell ref="G22:H22"/>
    <mergeCell ref="E21:E22"/>
    <mergeCell ref="E23:E30"/>
    <mergeCell ref="C45:D45"/>
    <mergeCell ref="C46:D46"/>
    <mergeCell ref="G46:H46"/>
    <mergeCell ref="E50:F50"/>
    <mergeCell ref="G49:H49"/>
    <mergeCell ref="B9:B30"/>
    <mergeCell ref="G19:H19"/>
    <mergeCell ref="G20:H20"/>
    <mergeCell ref="C19:C20"/>
    <mergeCell ref="F9:F13"/>
    <mergeCell ref="F16:F17"/>
    <mergeCell ref="G18:H18"/>
    <mergeCell ref="G16:H16"/>
    <mergeCell ref="D16:D18"/>
    <mergeCell ref="G15:H15"/>
    <mergeCell ref="G25:H25"/>
    <mergeCell ref="G23:H23"/>
    <mergeCell ref="D19:D20"/>
    <mergeCell ref="C41:D41"/>
  </mergeCells>
  <pageMargins left="0.7" right="0.7" top="0.75" bottom="0.75" header="0.3" footer="0.3"/>
  <pageSetup paperSize="256" scale="55" fitToHeight="0" orientation="landscape" r:id="rId1"/>
  <ignoredErrors>
    <ignoredError sqref="E15 E10"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G150"/>
  <sheetViews>
    <sheetView zoomScaleNormal="100" workbookViewId="0">
      <pane ySplit="4" topLeftCell="A5" activePane="bottomLeft" state="frozen"/>
      <selection pane="bottomLeft"/>
    </sheetView>
  </sheetViews>
  <sheetFormatPr defaultColWidth="11.42578125" defaultRowHeight="12.75" outlineLevelRow="1"/>
  <cols>
    <col min="1" max="1" width="2.85546875" style="232" customWidth="1"/>
    <col min="2" max="2" width="2.85546875" style="2" customWidth="1"/>
    <col min="3" max="3" width="22.85546875" style="2" customWidth="1"/>
    <col min="4" max="5" width="20" style="95" customWidth="1"/>
    <col min="6" max="6" width="10.28515625" style="2" customWidth="1"/>
    <col min="7" max="7" width="10.28515625" style="95" customWidth="1"/>
    <col min="8" max="8" width="10.28515625" style="2" customWidth="1"/>
    <col min="9" max="9" width="10.28515625" style="95" customWidth="1"/>
    <col min="10" max="10" width="10.28515625" style="2" customWidth="1"/>
    <col min="11" max="11" width="10.28515625" style="95" customWidth="1"/>
    <col min="12" max="12" width="10.28515625" style="2" customWidth="1"/>
    <col min="13" max="13" width="10.28515625" style="95" customWidth="1"/>
    <col min="14" max="15" width="10.28515625" style="2" customWidth="1"/>
    <col min="16" max="16" width="10.85546875" style="2" customWidth="1"/>
    <col min="17" max="17" width="10.85546875" style="272" customWidth="1"/>
    <col min="18"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72"/>
      <c r="B1" s="272"/>
      <c r="C1" s="272"/>
      <c r="D1" s="272"/>
      <c r="E1" s="272"/>
      <c r="F1" s="18"/>
      <c r="H1" s="274"/>
      <c r="J1" s="274"/>
      <c r="K1" s="274"/>
      <c r="L1" s="274"/>
      <c r="M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N1" s="697"/>
      <c r="O1" s="697"/>
      <c r="P1" s="697"/>
      <c r="Q1" s="697"/>
      <c r="R1" s="697"/>
      <c r="S1" s="697"/>
      <c r="T1" s="274"/>
      <c r="U1" s="274"/>
      <c r="V1" s="274"/>
      <c r="W1" s="274"/>
      <c r="X1" s="274"/>
      <c r="Y1" s="274"/>
      <c r="Z1" s="274"/>
      <c r="AA1" s="274"/>
      <c r="AB1" s="274"/>
      <c r="AC1" s="274"/>
      <c r="AD1" s="274"/>
      <c r="AE1" s="272"/>
      <c r="AF1" s="272"/>
      <c r="AG1" s="272"/>
    </row>
    <row r="2" spans="1:33" ht="12.75" customHeight="1">
      <c r="A2" s="272"/>
      <c r="B2" s="272"/>
      <c r="C2" s="272"/>
      <c r="D2" s="272"/>
      <c r="E2" s="272"/>
      <c r="F2" s="18"/>
      <c r="G2" s="274"/>
      <c r="H2" s="274"/>
      <c r="I2" s="274"/>
      <c r="J2" s="274"/>
      <c r="K2" s="274"/>
      <c r="L2" s="274"/>
      <c r="M2" s="697"/>
      <c r="N2" s="697"/>
      <c r="O2" s="697"/>
      <c r="P2" s="697"/>
      <c r="Q2" s="697"/>
      <c r="R2" s="697"/>
      <c r="S2" s="697"/>
      <c r="T2" s="274"/>
      <c r="U2" s="274"/>
      <c r="V2" s="274"/>
      <c r="W2" s="274"/>
      <c r="X2" s="274"/>
      <c r="Y2" s="274"/>
      <c r="Z2" s="274"/>
      <c r="AA2" s="274"/>
      <c r="AB2" s="274"/>
      <c r="AC2" s="274"/>
      <c r="AD2" s="274"/>
      <c r="AE2" s="272"/>
      <c r="AF2" s="272"/>
      <c r="AG2" s="272"/>
    </row>
    <row r="3" spans="1:33" ht="12.75" customHeight="1">
      <c r="A3" s="272"/>
      <c r="B3" s="272"/>
      <c r="C3" s="272"/>
      <c r="D3" s="272"/>
      <c r="E3" s="272"/>
      <c r="F3" s="18"/>
      <c r="G3" s="274"/>
      <c r="H3" s="274"/>
      <c r="I3" s="274"/>
      <c r="J3" s="274"/>
      <c r="K3" s="274"/>
      <c r="L3" s="274"/>
      <c r="M3" s="697"/>
      <c r="N3" s="697"/>
      <c r="O3" s="697"/>
      <c r="P3" s="697"/>
      <c r="Q3" s="697"/>
      <c r="R3" s="697"/>
      <c r="S3" s="697"/>
      <c r="T3" s="274"/>
      <c r="U3" s="274"/>
      <c r="V3" s="274"/>
      <c r="W3" s="274"/>
      <c r="X3" s="274"/>
      <c r="Y3" s="274"/>
      <c r="Z3" s="274"/>
      <c r="AA3" s="274"/>
      <c r="AB3" s="274"/>
      <c r="AC3" s="274"/>
      <c r="AD3" s="274"/>
      <c r="AE3" s="272"/>
      <c r="AF3" s="272"/>
      <c r="AG3" s="272"/>
    </row>
    <row r="4" spans="1:33" s="34" customFormat="1" ht="12.75" customHeight="1">
      <c r="A4" s="275"/>
      <c r="B4" s="275"/>
      <c r="C4" s="35" t="str">
        <f>IF('Język - Language'!$B$30="Polski","            Pakiety tematyczne, zasięgowe oraz reklama na serwisie","             Packages")</f>
        <v xml:space="preserve">            Pakiety tematyczne, zasięgowe oraz reklama na serwisie</v>
      </c>
      <c r="D4" s="35"/>
      <c r="E4" s="275"/>
      <c r="F4" s="275"/>
      <c r="G4" s="275"/>
      <c r="H4" s="275"/>
      <c r="I4" s="275"/>
      <c r="J4" s="275"/>
      <c r="K4" s="275"/>
      <c r="L4" s="275"/>
      <c r="M4" s="275"/>
      <c r="N4" s="275"/>
      <c r="P4" s="275"/>
      <c r="Q4" s="275"/>
      <c r="R4" s="275"/>
      <c r="S4" s="269" t="str">
        <f>IF('Język - Language'!$B$30="Polski","PL","EN")</f>
        <v>PL</v>
      </c>
      <c r="T4" s="275"/>
      <c r="U4" s="275"/>
      <c r="V4" s="275"/>
      <c r="W4" s="275"/>
      <c r="X4" s="275"/>
      <c r="Y4" s="275"/>
      <c r="Z4" s="275"/>
      <c r="AA4" s="275"/>
      <c r="AB4" s="275"/>
      <c r="AC4" s="275"/>
      <c r="AD4" s="275"/>
      <c r="AE4" s="275"/>
      <c r="AF4" s="275"/>
      <c r="AG4" s="275"/>
    </row>
    <row r="5" spans="1:33" ht="12.75" customHeight="1">
      <c r="A5" s="272"/>
      <c r="B5" s="272"/>
      <c r="C5" s="272"/>
      <c r="D5" s="272"/>
      <c r="E5" s="272"/>
      <c r="F5" s="272"/>
      <c r="G5" s="272"/>
      <c r="H5" s="272"/>
      <c r="I5" s="272"/>
      <c r="J5" s="272"/>
      <c r="K5" s="272"/>
      <c r="L5" s="272"/>
      <c r="M5" s="272"/>
      <c r="N5" s="272"/>
      <c r="O5" s="272"/>
      <c r="P5" s="272"/>
      <c r="R5" s="272"/>
      <c r="S5" s="272"/>
      <c r="T5" s="272"/>
      <c r="U5" s="272"/>
      <c r="V5" s="272"/>
      <c r="W5" s="272"/>
      <c r="X5" s="272"/>
      <c r="Y5" s="272"/>
      <c r="Z5" s="272"/>
      <c r="AA5" s="272"/>
      <c r="AB5" s="272"/>
      <c r="AC5" s="272"/>
      <c r="AD5" s="272"/>
      <c r="AE5" s="272"/>
      <c r="AF5" s="272"/>
      <c r="AG5" s="272"/>
    </row>
    <row r="6" spans="1:33" ht="12.75" customHeight="1" thickBot="1">
      <c r="A6" s="272"/>
      <c r="B6"/>
      <c r="C6" s="263"/>
      <c r="D6" s="263"/>
      <c r="E6" s="263"/>
      <c r="F6" s="263"/>
      <c r="G6" s="263"/>
      <c r="H6" s="263"/>
      <c r="I6" s="263"/>
      <c r="J6" s="270"/>
      <c r="K6" s="270"/>
      <c r="L6" s="270"/>
      <c r="M6" s="270"/>
      <c r="N6" s="270"/>
      <c r="O6" s="270"/>
      <c r="P6" s="270"/>
      <c r="Q6" s="270"/>
      <c r="R6" s="270"/>
      <c r="S6" s="270"/>
      <c r="T6" s="270"/>
      <c r="U6" s="270"/>
      <c r="V6" s="270"/>
      <c r="W6" s="270"/>
      <c r="X6" s="270"/>
      <c r="Y6" s="270"/>
      <c r="Z6" s="270"/>
      <c r="AA6" s="270"/>
      <c r="AB6" s="270"/>
      <c r="AC6" s="270"/>
      <c r="AD6" s="270"/>
      <c r="AE6" s="270"/>
      <c r="AF6" s="270"/>
      <c r="AG6" s="270"/>
    </row>
    <row r="7" spans="1:33" s="232" customFormat="1" ht="12.75" customHeight="1" thickTop="1">
      <c r="A7" s="272"/>
      <c r="B7" s="262"/>
      <c r="C7" s="969" t="str">
        <f>IF('Język - Language'!$B$30="Polski","KATEGORIE","CATEGORIES")</f>
        <v>KATEGORIE</v>
      </c>
      <c r="D7" s="809" t="str">
        <f>IF('Język - Language'!$B$30="Polski","MIEJSCE EMISJI","PLACE OF EMISSION")</f>
        <v>MIEJSCE EMISJI</v>
      </c>
      <c r="E7" s="1005" t="str">
        <f>IF('Język - Language'!$B$30="Polski","WIDZIALNE ODSŁONY","VIEWABLE IMPRESSIONS")</f>
        <v>WIDZIALNE ODSŁONY</v>
      </c>
      <c r="F7" s="1002" t="str">
        <f>IF('Język - Language'!$B$30="Polski","HALFPAGE","HALFPAGE")</f>
        <v>HALFPAGE</v>
      </c>
      <c r="G7" s="1003"/>
      <c r="H7" s="1003" t="str">
        <f>IF('Język - Language'!$B$30="Polski","CONTENT BOX 970x200","CONTENT BOX 970x200")</f>
        <v>CONTENT BOX 970x200</v>
      </c>
      <c r="I7" s="1012"/>
      <c r="J7" s="270"/>
      <c r="K7" s="270"/>
      <c r="L7" s="270"/>
      <c r="M7" s="272"/>
      <c r="N7" s="272"/>
      <c r="O7" s="272"/>
      <c r="P7" s="272"/>
      <c r="Q7" s="272"/>
      <c r="R7" s="272"/>
      <c r="S7" s="272"/>
      <c r="T7" s="272"/>
      <c r="U7" s="272"/>
      <c r="V7" s="272"/>
      <c r="W7" s="272"/>
      <c r="X7" s="272"/>
      <c r="Y7" s="272"/>
      <c r="Z7" s="272"/>
      <c r="AA7" s="272"/>
      <c r="AB7" s="272"/>
      <c r="AC7" s="272"/>
    </row>
    <row r="8" spans="1:33" s="232" customFormat="1" ht="12.75" customHeight="1">
      <c r="A8" s="270"/>
      <c r="B8" s="262"/>
      <c r="C8" s="969"/>
      <c r="D8" s="809"/>
      <c r="E8" s="1006"/>
      <c r="F8" s="971"/>
      <c r="G8" s="933"/>
      <c r="H8" s="933"/>
      <c r="I8" s="1004"/>
      <c r="J8" s="270"/>
      <c r="K8" s="270"/>
      <c r="L8" s="270"/>
      <c r="M8" s="272"/>
      <c r="N8" s="272"/>
      <c r="O8" s="272"/>
      <c r="P8" s="272"/>
      <c r="Q8" s="272"/>
      <c r="R8" s="272"/>
      <c r="S8" s="272"/>
      <c r="T8" s="272"/>
      <c r="U8" s="272"/>
      <c r="V8" s="272"/>
      <c r="W8" s="272"/>
      <c r="X8" s="272"/>
      <c r="Y8" s="272"/>
      <c r="Z8" s="272"/>
      <c r="AA8" s="272"/>
      <c r="AB8" s="272"/>
      <c r="AC8" s="272"/>
    </row>
    <row r="9" spans="1:33" s="232" customFormat="1" ht="25.5" customHeight="1">
      <c r="A9" s="272"/>
      <c r="B9" s="262"/>
      <c r="C9" s="969"/>
      <c r="D9" s="809"/>
      <c r="E9" s="1006"/>
      <c r="F9" s="971" t="str">
        <f>IF('Język - Language'!$B$30="Polski","rozliczenie za widzialne odsłony wg standardu IAB¹","settlement for visible ad views according to the IAB standard¹")</f>
        <v>rozliczenie za widzialne odsłony wg standardu IAB¹</v>
      </c>
      <c r="G9" s="933"/>
      <c r="H9" s="933"/>
      <c r="I9" s="1004"/>
      <c r="J9" s="270"/>
      <c r="K9" s="270"/>
      <c r="L9" s="272"/>
      <c r="M9" s="272"/>
      <c r="N9" s="272"/>
      <c r="O9" s="272"/>
      <c r="P9" s="272"/>
      <c r="Q9" s="272"/>
      <c r="R9" s="272"/>
      <c r="S9" s="272"/>
      <c r="T9" s="272"/>
      <c r="U9" s="272"/>
      <c r="V9" s="272"/>
      <c r="W9" s="272"/>
      <c r="X9" s="272"/>
      <c r="Y9" s="272"/>
      <c r="Z9" s="272"/>
      <c r="AA9" s="272"/>
      <c r="AB9" s="272"/>
      <c r="AC9" s="272"/>
    </row>
    <row r="10" spans="1:33" s="232" customFormat="1" ht="12.75" customHeight="1">
      <c r="A10" s="272"/>
      <c r="B10" s="262"/>
      <c r="C10" s="970"/>
      <c r="D10" s="1011"/>
      <c r="E10" s="1007"/>
      <c r="F10" s="933" t="str">
        <f>IF('Język - Language'!$B$30="Polski","CENA RC","RC PRICE")</f>
        <v>CENA RC</v>
      </c>
      <c r="G10" s="933"/>
      <c r="H10" s="933" t="str">
        <f>IF('Język - Language'!$B$30="Polski","CENA RC","RC PRICE")</f>
        <v>CENA RC</v>
      </c>
      <c r="I10" s="933"/>
      <c r="J10" s="363"/>
      <c r="K10" s="270"/>
      <c r="L10" s="270"/>
      <c r="M10" s="272"/>
      <c r="N10" s="272"/>
      <c r="O10" s="272"/>
      <c r="P10" s="272"/>
      <c r="Q10" s="272"/>
      <c r="R10" s="272"/>
      <c r="S10" s="272"/>
      <c r="T10" s="272"/>
      <c r="U10" s="272"/>
      <c r="V10" s="272"/>
      <c r="W10" s="272"/>
      <c r="X10" s="272"/>
      <c r="Y10" s="272"/>
      <c r="Z10" s="272"/>
      <c r="AA10" s="272"/>
      <c r="AB10" s="272"/>
      <c r="AC10" s="272"/>
    </row>
    <row r="11" spans="1:33" s="232" customFormat="1" ht="12.75" customHeight="1">
      <c r="A11" s="272"/>
      <c r="B11" s="961" t="str">
        <f>IF('Język - Language'!$B$30="Polski","DNIÓWKA ODSŁONOWA","DAILY EMISSION")</f>
        <v>DNIÓWKA ODSŁONOWA</v>
      </c>
      <c r="C11" s="998" t="s">
        <v>277</v>
      </c>
      <c r="D11" s="359" t="str">
        <f>IF('Język - Language'!$B$30="Polski",CONCATENATE("Moduł ",CHAR(34),"Wiadomości",CHAR(34)),"Category 'News'")</f>
        <v>Moduł "Wiadomości"</v>
      </c>
      <c r="E11" s="264">
        <v>2000000</v>
      </c>
      <c r="F11" s="1001">
        <v>184000</v>
      </c>
      <c r="G11" s="958"/>
      <c r="H11" s="1001" t="s">
        <v>55</v>
      </c>
      <c r="I11" s="1001"/>
      <c r="J11" s="363"/>
      <c r="K11" s="270"/>
      <c r="L11" s="270"/>
      <c r="M11" s="272"/>
      <c r="N11" s="272"/>
      <c r="O11" s="272"/>
      <c r="P11" s="272"/>
      <c r="Q11" s="272"/>
      <c r="R11" s="272"/>
      <c r="S11" s="272"/>
      <c r="T11" s="272"/>
      <c r="U11" s="272"/>
      <c r="V11" s="272"/>
      <c r="W11" s="272"/>
      <c r="X11" s="272"/>
      <c r="Y11" s="272"/>
      <c r="Z11" s="272"/>
      <c r="AA11" s="272"/>
      <c r="AB11" s="272"/>
      <c r="AC11" s="272"/>
    </row>
    <row r="12" spans="1:33" s="232" customFormat="1" ht="12.75" customHeight="1">
      <c r="A12" s="272"/>
      <c r="B12" s="961"/>
      <c r="C12" s="999"/>
      <c r="D12" s="359" t="str">
        <f>IF('Język - Language'!$B$30="Polski",CONCATENATE("Moduł ",CHAR(34),"Sport",CHAR(34)),"Category 'Sport'")</f>
        <v>Moduł "Sport"</v>
      </c>
      <c r="E12" s="264">
        <v>1400000</v>
      </c>
      <c r="F12" s="1001">
        <v>129000</v>
      </c>
      <c r="G12" s="958"/>
      <c r="H12" s="1001"/>
      <c r="I12" s="1008"/>
      <c r="J12" s="270"/>
      <c r="K12" s="270"/>
      <c r="L12" s="270"/>
      <c r="M12" s="272"/>
      <c r="N12" s="272"/>
      <c r="O12" s="272"/>
      <c r="P12" s="272"/>
      <c r="Q12" s="272"/>
      <c r="R12" s="272"/>
      <c r="S12" s="272"/>
      <c r="T12" s="272"/>
      <c r="U12" s="272"/>
      <c r="V12" s="272"/>
      <c r="W12" s="272"/>
      <c r="X12" s="272"/>
      <c r="Y12" s="272"/>
      <c r="Z12" s="272"/>
      <c r="AA12" s="272"/>
      <c r="AB12" s="272"/>
      <c r="AC12" s="272"/>
    </row>
    <row r="13" spans="1:33" s="232" customFormat="1" ht="12.75" customHeight="1">
      <c r="A13" s="272"/>
      <c r="B13" s="961"/>
      <c r="C13" s="999"/>
      <c r="D13" s="359" t="str">
        <f>IF('Język - Language'!$B$30="Polski",CONCATENATE("Moduł ",CHAR(34),"Finanse",CHAR(34)),"Category 'Business'")</f>
        <v>Moduł "Finanse"</v>
      </c>
      <c r="E13" s="264">
        <v>1200000</v>
      </c>
      <c r="F13" s="1001">
        <v>110000</v>
      </c>
      <c r="G13" s="958"/>
      <c r="H13" s="1001"/>
      <c r="I13" s="1008"/>
      <c r="J13" s="270"/>
      <c r="K13" s="270"/>
      <c r="L13" s="270"/>
      <c r="M13" s="272"/>
      <c r="N13" s="272"/>
      <c r="O13" s="272"/>
      <c r="P13" s="272"/>
      <c r="Q13" s="272"/>
      <c r="R13" s="272"/>
      <c r="S13" s="272"/>
      <c r="T13" s="272"/>
      <c r="U13" s="272"/>
      <c r="V13" s="272"/>
      <c r="W13" s="272"/>
      <c r="X13" s="272"/>
      <c r="Y13" s="272"/>
      <c r="Z13" s="272"/>
      <c r="AA13" s="272"/>
      <c r="AB13" s="272"/>
      <c r="AC13" s="272"/>
    </row>
    <row r="14" spans="1:33" s="232" customFormat="1" ht="12.75" customHeight="1">
      <c r="A14" s="272"/>
      <c r="B14" s="961"/>
      <c r="C14" s="999"/>
      <c r="D14" s="359" t="str">
        <f>IF('Język - Language'!$B$30="Polski",CONCATENATE("Moduł ",CHAR(34),"Gwiazdy",CHAR(34)),"Category 'Stars'")</f>
        <v>Moduł "Gwiazdy"</v>
      </c>
      <c r="E14" s="264">
        <v>1000000</v>
      </c>
      <c r="F14" s="1001">
        <v>92000</v>
      </c>
      <c r="G14" s="958"/>
      <c r="H14" s="1001"/>
      <c r="I14" s="1008"/>
      <c r="J14" s="270"/>
      <c r="K14" s="270"/>
      <c r="L14" s="270"/>
      <c r="M14" s="272"/>
      <c r="N14" s="272"/>
      <c r="O14" s="272"/>
      <c r="P14" s="272"/>
      <c r="Q14" s="272"/>
      <c r="R14" s="272"/>
      <c r="S14" s="272"/>
      <c r="T14" s="272"/>
      <c r="U14" s="272"/>
      <c r="V14" s="272"/>
      <c r="W14" s="272"/>
      <c r="X14" s="272"/>
      <c r="Y14" s="272"/>
      <c r="Z14" s="272"/>
      <c r="AA14" s="272"/>
      <c r="AB14" s="272"/>
      <c r="AC14" s="272"/>
    </row>
    <row r="15" spans="1:33" s="232" customFormat="1" ht="12.75" customHeight="1">
      <c r="A15" s="272"/>
      <c r="B15" s="961"/>
      <c r="C15" s="999"/>
      <c r="D15" s="359" t="str">
        <f>IF('Język - Language'!$B$30="Polski",CONCATENATE("Moduł ",CHAR(34),"Moto",CHAR(34)),"Category 'Automotive'")</f>
        <v>Moduł "Moto"</v>
      </c>
      <c r="E15" s="264">
        <v>900000</v>
      </c>
      <c r="F15" s="1001">
        <v>83000</v>
      </c>
      <c r="G15" s="958"/>
      <c r="H15" s="1001"/>
      <c r="I15" s="1008"/>
      <c r="J15" s="270"/>
      <c r="K15" s="270"/>
      <c r="L15" s="270"/>
      <c r="M15" s="272"/>
      <c r="N15" s="272"/>
      <c r="O15" s="272"/>
      <c r="P15" s="272"/>
      <c r="Q15" s="272"/>
      <c r="R15" s="272"/>
      <c r="S15" s="272"/>
      <c r="T15" s="272"/>
      <c r="U15" s="272"/>
      <c r="V15" s="272"/>
      <c r="W15" s="272"/>
      <c r="X15" s="272"/>
      <c r="Y15" s="272"/>
      <c r="Z15" s="272"/>
      <c r="AA15" s="272"/>
      <c r="AB15" s="272"/>
      <c r="AC15" s="272"/>
    </row>
    <row r="16" spans="1:33" s="232" customFormat="1" ht="12.75" customHeight="1">
      <c r="A16" s="272"/>
      <c r="B16" s="961"/>
      <c r="C16" s="999"/>
      <c r="D16" s="359" t="str">
        <f>IF('Język - Language'!$B$30="Polski",CONCATENATE("Moduł ",CHAR(34),"Styl Życia",CHAR(34)),"Category 'Lifestyle'")</f>
        <v>Moduł "Styl Życia"</v>
      </c>
      <c r="E16" s="264">
        <v>700000</v>
      </c>
      <c r="F16" s="1001">
        <v>64000</v>
      </c>
      <c r="G16" s="958"/>
      <c r="H16" s="1001"/>
      <c r="I16" s="1008"/>
      <c r="J16" s="270"/>
      <c r="K16" s="270"/>
      <c r="L16" s="270"/>
      <c r="M16" s="272"/>
      <c r="N16" s="272"/>
      <c r="O16" s="272"/>
      <c r="P16" s="272"/>
      <c r="Q16" s="272"/>
      <c r="R16" s="272"/>
      <c r="S16" s="272"/>
      <c r="T16" s="272"/>
      <c r="U16" s="272"/>
      <c r="V16" s="272"/>
      <c r="W16" s="272"/>
      <c r="X16" s="272"/>
      <c r="Y16" s="272"/>
      <c r="Z16" s="272"/>
      <c r="AA16" s="272"/>
      <c r="AB16" s="272"/>
      <c r="AC16" s="272"/>
    </row>
    <row r="17" spans="1:33" s="232" customFormat="1" ht="12.75" customHeight="1">
      <c r="A17" s="272"/>
      <c r="B17" s="961"/>
      <c r="C17" s="999"/>
      <c r="D17" s="359" t="str">
        <f>IF('Język - Language'!$B$30="Polski",CONCATENATE("Moduł ",CHAR(34),"Turystyka",CHAR(34)),"Category 'Touring'")</f>
        <v>Moduł "Turystyka"</v>
      </c>
      <c r="E17" s="264">
        <v>600000</v>
      </c>
      <c r="F17" s="1001">
        <v>55000</v>
      </c>
      <c r="G17" s="958"/>
      <c r="H17" s="1001"/>
      <c r="I17" s="1008"/>
      <c r="J17" s="270"/>
      <c r="K17" s="270"/>
      <c r="L17" s="270"/>
      <c r="M17" s="272"/>
      <c r="N17" s="272"/>
      <c r="O17" s="272"/>
      <c r="P17" s="272"/>
      <c r="Q17" s="272"/>
      <c r="R17" s="272"/>
      <c r="S17" s="272"/>
      <c r="T17" s="272"/>
      <c r="U17" s="272"/>
      <c r="V17" s="272"/>
      <c r="W17" s="272"/>
      <c r="X17" s="272"/>
      <c r="Y17" s="272"/>
      <c r="Z17" s="272"/>
      <c r="AA17" s="272"/>
      <c r="AB17" s="272"/>
      <c r="AC17" s="272"/>
    </row>
    <row r="18" spans="1:33" s="232" customFormat="1" ht="12.75" customHeight="1">
      <c r="A18" s="272"/>
      <c r="B18" s="961"/>
      <c r="C18" s="999"/>
      <c r="D18" s="614" t="str">
        <f>IF('Język - Language'!$B$30="Polski",CONCATENATE("Moduł ",CHAR(34),"Zobacz więcej",CHAR(34)),"Category 'See more'")</f>
        <v>Moduł "Zobacz więcej"</v>
      </c>
      <c r="E18" s="617">
        <v>500000</v>
      </c>
      <c r="F18" s="1009">
        <v>46000</v>
      </c>
      <c r="G18" s="918"/>
      <c r="H18" s="1009"/>
      <c r="I18" s="1010"/>
      <c r="J18" s="270"/>
      <c r="K18" s="270"/>
      <c r="L18" s="270"/>
      <c r="M18" s="272"/>
      <c r="N18" s="272"/>
      <c r="O18" s="272"/>
      <c r="P18" s="272"/>
      <c r="Q18" s="272"/>
      <c r="R18" s="272"/>
      <c r="S18" s="272"/>
      <c r="T18" s="272"/>
      <c r="U18" s="272"/>
      <c r="V18" s="272"/>
      <c r="W18" s="272"/>
      <c r="X18" s="272"/>
      <c r="Y18" s="272"/>
      <c r="Z18" s="272"/>
      <c r="AA18" s="272"/>
      <c r="AB18" s="272"/>
      <c r="AC18" s="272"/>
    </row>
    <row r="19" spans="1:33" s="232" customFormat="1" ht="12.75" customHeight="1">
      <c r="A19" s="272"/>
      <c r="B19" s="961"/>
      <c r="C19" s="1000"/>
      <c r="D19" s="613" t="str">
        <f>IF('Język - Language'!$B$30="Polski","Moduły rotacyjnie","Rotating in categories")</f>
        <v>Moduły rotacyjnie</v>
      </c>
      <c r="E19" s="265">
        <v>1000000</v>
      </c>
      <c r="F19" s="985">
        <v>75000</v>
      </c>
      <c r="G19" s="997"/>
      <c r="H19" s="985">
        <v>92000</v>
      </c>
      <c r="I19" s="986"/>
      <c r="J19" s="270"/>
      <c r="K19" s="270"/>
      <c r="L19" s="270"/>
      <c r="M19" s="272"/>
      <c r="N19" s="272"/>
      <c r="O19" s="272"/>
      <c r="P19" s="272"/>
      <c r="Q19" s="272"/>
      <c r="R19" s="272"/>
      <c r="S19" s="272"/>
      <c r="T19" s="272"/>
      <c r="U19" s="272"/>
      <c r="V19" s="272"/>
      <c r="W19" s="272"/>
      <c r="X19" s="272"/>
      <c r="Y19" s="272"/>
      <c r="Z19" s="272"/>
      <c r="AA19" s="272"/>
      <c r="AB19" s="272"/>
      <c r="AC19" s="272"/>
    </row>
    <row r="20" spans="1:33" s="272" customFormat="1" ht="25.5" customHeight="1">
      <c r="B20" s="961"/>
      <c r="C20" s="673" t="s">
        <v>276</v>
      </c>
      <c r="D20" s="671" t="s">
        <v>255</v>
      </c>
      <c r="E20" s="264">
        <v>500000</v>
      </c>
      <c r="F20" s="916">
        <v>40000</v>
      </c>
      <c r="G20" s="917"/>
      <c r="H20" s="916" t="s">
        <v>55</v>
      </c>
      <c r="I20" s="975"/>
      <c r="J20" s="270"/>
      <c r="K20" s="270"/>
      <c r="L20" s="270"/>
    </row>
    <row r="21" spans="1:33" s="272" customFormat="1" ht="25.5" customHeight="1" thickBot="1">
      <c r="B21" s="962"/>
      <c r="C21" s="616" t="s">
        <v>278</v>
      </c>
      <c r="D21" s="360" t="s">
        <v>255</v>
      </c>
      <c r="E21" s="618">
        <v>500000</v>
      </c>
      <c r="F21" s="1013">
        <v>40000</v>
      </c>
      <c r="G21" s="1014"/>
      <c r="H21" s="1013" t="s">
        <v>55</v>
      </c>
      <c r="I21" s="1015"/>
      <c r="J21" s="270"/>
      <c r="K21" s="270"/>
      <c r="L21" s="270"/>
    </row>
    <row r="22" spans="1:33" s="232" customFormat="1" ht="12.75" customHeight="1" thickTop="1">
      <c r="A22" s="272"/>
      <c r="B22" s="34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row>
    <row r="23" spans="1:33" s="272" customFormat="1" ht="12.75" customHeight="1">
      <c r="B23" s="347"/>
      <c r="C23" s="348"/>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row>
    <row r="24" spans="1:33" s="272" customFormat="1" ht="12.75" customHeight="1">
      <c r="B24"/>
      <c r="C24" s="201" t="str">
        <f>IF('Język - Language'!$B$30="Polski","STANDARDOWE FORMATY REKLAMOWE","STANDARD AD FORMATS")</f>
        <v>STANDARDOWE FORMATY REKLAMOWE</v>
      </c>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row>
    <row r="25" spans="1:33" ht="12.75" customHeight="1">
      <c r="A25" s="272"/>
      <c r="B25" s="270"/>
      <c r="C25" s="976" t="str">
        <f>IF('Język - Language'!$B$30="Polski","KATEGORIE","CATEGORIES")</f>
        <v>KATEGORIE</v>
      </c>
      <c r="D25" s="977" t="str">
        <f>IF('Język - Language'!$B$30="Polski","MIEJSCE EMISJI","PLACE OF EMISSION")</f>
        <v>MIEJSCE EMISJI</v>
      </c>
      <c r="E25" s="978"/>
      <c r="F25" s="980" t="str">
        <f>IF('Język - Language'!$B$30="Polski","RECTANGLE","RECTANGLE")</f>
        <v>RECTANGLE</v>
      </c>
      <c r="G25" s="981"/>
      <c r="H25" s="981" t="str">
        <f>IF('Język - Language'!$B$30="Polski","DOUBLE BILLBOARD,","DOUBLE BILLBOARD,")</f>
        <v>DOUBLE BILLBOARD,</v>
      </c>
      <c r="I25" s="981"/>
      <c r="J25" s="981" t="str">
        <f>IF('Język - Language'!$B$30="Polski","TRIPLE BILLBOARD,","TRIPLE BILLBOARD,")</f>
        <v>TRIPLE BILLBOARD,</v>
      </c>
      <c r="K25" s="964"/>
      <c r="L25" s="963" t="str">
        <f>IF('Język - Language'!$B$30="Polski","SCREENING 200³","SCREENING 200³")</f>
        <v>SCREENING 200³</v>
      </c>
      <c r="M25" s="964"/>
      <c r="N25" s="990" t="s">
        <v>58</v>
      </c>
      <c r="O25" s="895"/>
      <c r="P25" s="990" t="s">
        <v>217</v>
      </c>
      <c r="Q25" s="894"/>
      <c r="R25" s="901" t="s">
        <v>218</v>
      </c>
      <c r="S25" s="902"/>
      <c r="T25" s="93"/>
      <c r="U25" s="270"/>
      <c r="V25" s="270"/>
      <c r="W25" s="270"/>
      <c r="X25" s="272"/>
      <c r="Y25" s="272"/>
      <c r="Z25" s="272"/>
      <c r="AA25" s="272"/>
      <c r="AB25" s="272"/>
      <c r="AC25" s="272"/>
      <c r="AD25" s="272"/>
      <c r="AE25" s="272"/>
      <c r="AF25" s="272"/>
      <c r="AG25" s="272"/>
    </row>
    <row r="26" spans="1:33" s="143" customFormat="1" ht="12.75" customHeight="1">
      <c r="A26" s="272"/>
      <c r="B26" s="270"/>
      <c r="C26" s="969"/>
      <c r="D26" s="809"/>
      <c r="E26" s="979"/>
      <c r="F26" s="971"/>
      <c r="G26" s="933"/>
      <c r="H26" s="933" t="str">
        <f>IF('Język - Language'!$B$30="Polski","FLOATING HALFPAGE","FLOATING HALFPATE")</f>
        <v>FLOATING HALFPAGE</v>
      </c>
      <c r="I26" s="933"/>
      <c r="J26" s="933"/>
      <c r="K26" s="938"/>
      <c r="L26" s="965"/>
      <c r="M26" s="938"/>
      <c r="N26" s="990"/>
      <c r="O26" s="895"/>
      <c r="P26" s="990"/>
      <c r="Q26" s="894"/>
      <c r="R26" s="901"/>
      <c r="S26" s="902"/>
      <c r="T26" s="93"/>
      <c r="U26" s="270"/>
      <c r="V26" s="270"/>
      <c r="W26" s="270"/>
      <c r="X26" s="272"/>
      <c r="Y26" s="272"/>
      <c r="Z26" s="272"/>
      <c r="AA26" s="272"/>
      <c r="AB26" s="272"/>
      <c r="AC26" s="272"/>
      <c r="AD26" s="272"/>
      <c r="AE26" s="272"/>
      <c r="AF26" s="272"/>
      <c r="AG26" s="272"/>
    </row>
    <row r="27" spans="1:33" s="143" customFormat="1" ht="12.75" customHeight="1">
      <c r="A27" s="272"/>
      <c r="B27" s="270"/>
      <c r="C27" s="969"/>
      <c r="D27" s="809"/>
      <c r="E27" s="979"/>
      <c r="F27" s="982" t="str">
        <f>IF('Język - Language'!$B$30="Polski","MOBILE RECTANGLE","MOBILE RECTANGLE")</f>
        <v>MOBILE RECTANGLE</v>
      </c>
      <c r="G27" s="983"/>
      <c r="H27" s="933" t="str">
        <f>IF('Język - Language'!$B$30="Polski","HALFPAGE,","HALFPAGE,")</f>
        <v>HALFPAGE,</v>
      </c>
      <c r="I27" s="933"/>
      <c r="J27" s="933" t="str">
        <f>IF('Język - Language'!$B$30="Polski","WIDEBOARD","WIDEBOARD")</f>
        <v>WIDEBOARD</v>
      </c>
      <c r="K27" s="938"/>
      <c r="L27" s="973" t="str">
        <f>IF('Język - Language'!$B$30="Polski","MOBILE SCREENING³","MOBILE SCREENING³")</f>
        <v>MOBILE SCREENING³</v>
      </c>
      <c r="M27" s="974"/>
      <c r="N27" s="991" t="s">
        <v>59</v>
      </c>
      <c r="O27" s="992"/>
      <c r="P27" s="519"/>
      <c r="Q27" s="519"/>
      <c r="R27" s="519"/>
      <c r="S27" s="520"/>
      <c r="T27" s="93"/>
      <c r="U27" s="270"/>
      <c r="V27" s="270"/>
      <c r="W27" s="270"/>
      <c r="X27" s="272"/>
      <c r="Y27" s="272"/>
      <c r="Z27" s="272"/>
      <c r="AA27" s="272"/>
      <c r="AB27" s="272"/>
      <c r="AC27" s="272"/>
      <c r="AD27" s="272"/>
      <c r="AE27" s="272"/>
      <c r="AF27" s="272"/>
      <c r="AG27" s="272"/>
    </row>
    <row r="28" spans="1:33" s="143" customFormat="1" ht="12.75" customHeight="1">
      <c r="A28" s="272"/>
      <c r="B28" s="270"/>
      <c r="C28" s="969"/>
      <c r="D28" s="809"/>
      <c r="E28" s="979"/>
      <c r="F28" s="982"/>
      <c r="G28" s="983"/>
      <c r="H28" s="983" t="str">
        <f>IF('Język - Language'!$B$30="Polski","MOBILE BANNER GÓRNY","MOBILE UPPER BANNER")</f>
        <v>MOBILE BANNER GÓRNY</v>
      </c>
      <c r="I28" s="983"/>
      <c r="J28" s="933"/>
      <c r="K28" s="938"/>
      <c r="L28" s="973"/>
      <c r="M28" s="974"/>
      <c r="N28" s="991"/>
      <c r="O28" s="992"/>
      <c r="P28" s="519"/>
      <c r="Q28" s="519"/>
      <c r="R28" s="519"/>
      <c r="S28" s="520"/>
      <c r="T28" s="93"/>
      <c r="U28" s="270"/>
      <c r="V28" s="270"/>
      <c r="W28" s="270"/>
      <c r="X28" s="272"/>
      <c r="Y28" s="272"/>
      <c r="Z28" s="272"/>
      <c r="AA28" s="272"/>
      <c r="AB28" s="272"/>
      <c r="AC28" s="272"/>
      <c r="AD28" s="272"/>
      <c r="AE28" s="272"/>
      <c r="AF28" s="272"/>
      <c r="AG28" s="272"/>
    </row>
    <row r="29" spans="1:33" s="108" customFormat="1" ht="25.5" customHeight="1">
      <c r="A29" s="272"/>
      <c r="B29" s="270"/>
      <c r="C29" s="969"/>
      <c r="D29" s="809"/>
      <c r="E29" s="979"/>
      <c r="F29" s="971"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29" s="933"/>
      <c r="H29" s="933"/>
      <c r="I29" s="933"/>
      <c r="J29" s="933"/>
      <c r="K29" s="933"/>
      <c r="L29" s="933"/>
      <c r="M29" s="933"/>
      <c r="N29" s="933"/>
      <c r="O29" s="938"/>
      <c r="P29" s="1028" t="s">
        <v>209</v>
      </c>
      <c r="Q29" s="867"/>
      <c r="R29" s="867"/>
      <c r="S29" s="902"/>
      <c r="T29" s="93"/>
      <c r="U29" s="270"/>
      <c r="V29" s="270"/>
      <c r="W29" s="270"/>
      <c r="X29" s="272"/>
      <c r="Y29" s="272"/>
      <c r="Z29" s="272"/>
      <c r="AA29" s="272"/>
      <c r="AB29" s="272"/>
      <c r="AC29" s="272"/>
      <c r="AD29" s="272"/>
      <c r="AE29" s="272"/>
      <c r="AF29" s="272"/>
      <c r="AG29" s="272"/>
    </row>
    <row r="30" spans="1:33" s="272" customFormat="1" ht="12.75" customHeight="1">
      <c r="B30" s="270"/>
      <c r="C30" s="969"/>
      <c r="D30" s="809"/>
      <c r="E30" s="979"/>
      <c r="F30" s="971" t="s">
        <v>95</v>
      </c>
      <c r="G30" s="972"/>
      <c r="H30" s="971" t="s">
        <v>95</v>
      </c>
      <c r="I30" s="972"/>
      <c r="J30" s="971" t="s">
        <v>95</v>
      </c>
      <c r="K30" s="972"/>
      <c r="L30" s="971" t="s">
        <v>95</v>
      </c>
      <c r="M30" s="972"/>
      <c r="N30" s="1027" t="s">
        <v>95</v>
      </c>
      <c r="O30" s="938"/>
      <c r="P30" s="1027" t="s">
        <v>95</v>
      </c>
      <c r="Q30" s="938"/>
      <c r="R30" s="1027" t="s">
        <v>95</v>
      </c>
      <c r="S30" s="938"/>
      <c r="T30" s="93"/>
      <c r="U30" s="270"/>
      <c r="V30" s="270"/>
      <c r="W30" s="270"/>
    </row>
    <row r="31" spans="1:33" s="97" customFormat="1" ht="12.75" customHeight="1">
      <c r="A31" s="272"/>
      <c r="B31" s="270"/>
      <c r="C31" s="970"/>
      <c r="D31" s="809"/>
      <c r="E31" s="979"/>
      <c r="F31" s="442" t="s">
        <v>177</v>
      </c>
      <c r="G31" s="441" t="s">
        <v>178</v>
      </c>
      <c r="H31" s="442" t="s">
        <v>177</v>
      </c>
      <c r="I31" s="441" t="s">
        <v>178</v>
      </c>
      <c r="J31" s="442" t="s">
        <v>177</v>
      </c>
      <c r="K31" s="441" t="s">
        <v>178</v>
      </c>
      <c r="L31" s="442" t="s">
        <v>177</v>
      </c>
      <c r="M31" s="441" t="s">
        <v>178</v>
      </c>
      <c r="N31" s="442" t="s">
        <v>177</v>
      </c>
      <c r="O31" s="440" t="s">
        <v>178</v>
      </c>
      <c r="P31" s="517" t="s">
        <v>177</v>
      </c>
      <c r="Q31" s="518" t="s">
        <v>178</v>
      </c>
      <c r="R31" s="517" t="s">
        <v>177</v>
      </c>
      <c r="S31" s="518" t="s">
        <v>178</v>
      </c>
      <c r="T31" s="93"/>
      <c r="U31" s="270"/>
      <c r="V31" s="270"/>
      <c r="W31" s="270"/>
      <c r="X31" s="272"/>
      <c r="Y31" s="272"/>
      <c r="Z31" s="272"/>
      <c r="AA31" s="272"/>
      <c r="AB31" s="272"/>
      <c r="AC31" s="272"/>
      <c r="AD31" s="272"/>
      <c r="AE31" s="272"/>
      <c r="AF31" s="272"/>
      <c r="AG31" s="272"/>
    </row>
    <row r="32" spans="1:33" s="232" customFormat="1" ht="36" customHeight="1">
      <c r="A32" s="272"/>
      <c r="B32" s="984" t="str">
        <f>IF('Język - Language'!$B$30="Polski","EMISJA ODSŁONOWA","CPM EMISSION")</f>
        <v>EMISJA ODSŁONOWA</v>
      </c>
      <c r="C32" s="271" t="str">
        <f>IF('Język - Language'!$B$30="Polski","WPM ZASIĘG","WPM REACH")</f>
        <v>WPM ZASIĘG</v>
      </c>
      <c r="D32" s="731" t="str">
        <f>IF('Język - Language'!$B$30="Polski","WPM Zasięg (bez stron głównych o2 i WP oraz bez serwisów pocztowych)","WPM Reach (without o2 HP, WP HP and e-mail services)")</f>
        <v>WPM Zasięg (bez stron głównych o2 i WP oraz bez serwisów pocztowych)</v>
      </c>
      <c r="E32" s="732"/>
      <c r="F32" s="418">
        <v>27</v>
      </c>
      <c r="G32" s="444">
        <v>32</v>
      </c>
      <c r="H32" s="431">
        <v>41</v>
      </c>
      <c r="I32" s="444">
        <v>49</v>
      </c>
      <c r="J32" s="431">
        <v>54</v>
      </c>
      <c r="K32" s="456">
        <v>65</v>
      </c>
      <c r="L32" s="419" t="s">
        <v>55</v>
      </c>
      <c r="M32" s="420" t="s">
        <v>55</v>
      </c>
      <c r="N32" s="419" t="s">
        <v>55</v>
      </c>
      <c r="O32" s="420" t="s">
        <v>55</v>
      </c>
      <c r="P32" s="522">
        <v>21</v>
      </c>
      <c r="Q32" s="542" t="s">
        <v>55</v>
      </c>
      <c r="R32" s="522">
        <v>27</v>
      </c>
      <c r="S32" s="552" t="s">
        <v>55</v>
      </c>
      <c r="T32" s="91"/>
      <c r="U32" s="270"/>
      <c r="V32" s="270"/>
      <c r="W32" s="270"/>
      <c r="X32" s="272"/>
      <c r="Y32" s="272"/>
      <c r="Z32" s="272"/>
      <c r="AA32" s="272"/>
      <c r="AB32" s="272"/>
      <c r="AC32" s="272"/>
      <c r="AD32" s="272"/>
      <c r="AE32" s="272"/>
      <c r="AF32" s="272"/>
      <c r="AG32" s="272"/>
    </row>
    <row r="33" spans="1:33" s="232" customFormat="1" ht="36" customHeight="1">
      <c r="A33" s="272"/>
      <c r="B33" s="984"/>
      <c r="C33" s="271" t="s">
        <v>60</v>
      </c>
      <c r="D33" s="987" t="str">
        <f>IF('Język - Language'!$B$30="Polski","WP SG, o2 SG²","WP HP, o2 HP²")</f>
        <v>WP SG, o2 SG²</v>
      </c>
      <c r="E33" s="988"/>
      <c r="F33" s="484" t="s">
        <v>55</v>
      </c>
      <c r="G33" s="443" t="s">
        <v>55</v>
      </c>
      <c r="H33" s="417">
        <v>80</v>
      </c>
      <c r="I33" s="445">
        <v>96</v>
      </c>
      <c r="J33" s="417">
        <v>105</v>
      </c>
      <c r="K33" s="445">
        <v>126</v>
      </c>
      <c r="L33" s="426" t="s">
        <v>55</v>
      </c>
      <c r="M33" s="447" t="s">
        <v>55</v>
      </c>
      <c r="N33" s="421" t="s">
        <v>55</v>
      </c>
      <c r="O33" s="422" t="s">
        <v>55</v>
      </c>
      <c r="P33" s="533" t="s">
        <v>55</v>
      </c>
      <c r="Q33" s="542" t="s">
        <v>55</v>
      </c>
      <c r="R33" s="535" t="s">
        <v>55</v>
      </c>
      <c r="S33" s="552" t="s">
        <v>55</v>
      </c>
      <c r="T33" s="91"/>
      <c r="U33" s="270"/>
      <c r="V33" s="270"/>
      <c r="W33" s="270"/>
      <c r="X33" s="272"/>
      <c r="Y33" s="272"/>
      <c r="Z33" s="272"/>
      <c r="AA33" s="272"/>
      <c r="AB33" s="272"/>
      <c r="AC33" s="272"/>
      <c r="AD33" s="272"/>
      <c r="AE33" s="272"/>
      <c r="AF33" s="272"/>
      <c r="AG33" s="272"/>
    </row>
    <row r="34" spans="1:33" s="232" customFormat="1" ht="12.75" customHeight="1" outlineLevel="1">
      <c r="A34" s="272"/>
      <c r="B34" s="984"/>
      <c r="C34" s="969" t="str">
        <f>IF('Język - Language'!$B$30="Polski","BIZNES","BUSINESS")</f>
        <v>BIZNES</v>
      </c>
      <c r="D34" s="378" t="s">
        <v>38</v>
      </c>
      <c r="E34" s="379"/>
      <c r="F34" s="423">
        <f>ROUND(F36*(1+0.3),-1)</f>
        <v>120</v>
      </c>
      <c r="G34" s="449">
        <v>144</v>
      </c>
      <c r="H34" s="423">
        <f>ROUND(H36*(1+0.3),-1)</f>
        <v>180</v>
      </c>
      <c r="I34" s="449">
        <v>216</v>
      </c>
      <c r="J34" s="423">
        <f>ROUND(J36*(1+0.3),-1)</f>
        <v>230</v>
      </c>
      <c r="K34" s="449">
        <v>276</v>
      </c>
      <c r="L34" s="423">
        <v>270</v>
      </c>
      <c r="M34" s="449">
        <v>324</v>
      </c>
      <c r="N34" s="423">
        <f>ROUND(N36*(1+0.3),-1)</f>
        <v>310</v>
      </c>
      <c r="O34" s="492">
        <v>372</v>
      </c>
      <c r="P34" s="540">
        <f>ROUND(P36*(1+0.3),-1)</f>
        <v>90</v>
      </c>
      <c r="Q34" s="543" t="s">
        <v>55</v>
      </c>
      <c r="R34" s="540">
        <f>ROUND(R36*(1+0.3),-1)</f>
        <v>120</v>
      </c>
      <c r="S34" s="553" t="s">
        <v>55</v>
      </c>
      <c r="T34" s="91"/>
      <c r="U34" s="270"/>
      <c r="V34" s="270"/>
      <c r="W34" s="270"/>
      <c r="X34" s="272"/>
      <c r="Y34" s="272"/>
      <c r="Z34" s="272"/>
      <c r="AA34" s="272"/>
      <c r="AB34" s="272"/>
      <c r="AC34" s="272"/>
      <c r="AD34" s="272"/>
      <c r="AE34" s="272"/>
      <c r="AF34" s="272"/>
      <c r="AG34" s="272"/>
    </row>
    <row r="35" spans="1:33" s="272" customFormat="1" ht="12.75" customHeight="1" outlineLevel="1">
      <c r="B35" s="984"/>
      <c r="C35" s="969"/>
      <c r="D35" s="380" t="s">
        <v>136</v>
      </c>
      <c r="E35" s="381"/>
      <c r="F35" s="438">
        <f>ROUND(F36*(1+0.3),-1)</f>
        <v>120</v>
      </c>
      <c r="G35" s="450">
        <v>144</v>
      </c>
      <c r="H35" s="438">
        <f>ROUND(H36*(1+0.3),-1)</f>
        <v>180</v>
      </c>
      <c r="I35" s="450">
        <v>216</v>
      </c>
      <c r="J35" s="438">
        <f>ROUND(J36*(1+0.3),-1)</f>
        <v>230</v>
      </c>
      <c r="K35" s="450">
        <v>276</v>
      </c>
      <c r="L35" s="438">
        <v>270</v>
      </c>
      <c r="M35" s="450">
        <v>324</v>
      </c>
      <c r="N35" s="438">
        <f>ROUND(N36*(1+0.3),-1)</f>
        <v>310</v>
      </c>
      <c r="O35" s="493">
        <v>372</v>
      </c>
      <c r="P35" s="491">
        <f>ROUND(P36*(1+0.3),-1)</f>
        <v>90</v>
      </c>
      <c r="Q35" s="544" t="s">
        <v>55</v>
      </c>
      <c r="R35" s="541">
        <f>ROUND(R36*(1+0.3),-1)</f>
        <v>120</v>
      </c>
      <c r="S35" s="554" t="s">
        <v>55</v>
      </c>
      <c r="T35" s="91"/>
      <c r="U35" s="270"/>
      <c r="V35" s="270"/>
      <c r="W35" s="270"/>
    </row>
    <row r="36" spans="1:33" s="272" customFormat="1" ht="36" customHeight="1">
      <c r="B36" s="984"/>
      <c r="C36" s="970"/>
      <c r="D36" s="731" t="str">
        <f>D34&amp;", "&amp;D35</f>
        <v>WP Finanse, Portal Money.pl</v>
      </c>
      <c r="E36" s="732"/>
      <c r="F36" s="417">
        <v>90</v>
      </c>
      <c r="G36" s="445">
        <v>108</v>
      </c>
      <c r="H36" s="417">
        <v>135</v>
      </c>
      <c r="I36" s="445">
        <v>162</v>
      </c>
      <c r="J36" s="417">
        <v>180</v>
      </c>
      <c r="K36" s="445">
        <v>216</v>
      </c>
      <c r="L36" s="426" t="s">
        <v>55</v>
      </c>
      <c r="M36" s="446" t="s">
        <v>55</v>
      </c>
      <c r="N36" s="426">
        <v>235</v>
      </c>
      <c r="O36" s="446">
        <v>282</v>
      </c>
      <c r="P36" s="521">
        <v>68</v>
      </c>
      <c r="Q36" s="545" t="s">
        <v>55</v>
      </c>
      <c r="R36" s="521">
        <v>90</v>
      </c>
      <c r="S36" s="555" t="s">
        <v>55</v>
      </c>
      <c r="T36" s="91"/>
      <c r="U36" s="270"/>
      <c r="V36" s="270"/>
      <c r="W36" s="270"/>
    </row>
    <row r="37" spans="1:33" s="232" customFormat="1" ht="12.75" customHeight="1" outlineLevel="1">
      <c r="A37" s="272"/>
      <c r="B37" s="984"/>
      <c r="C37" s="968" t="str">
        <f>IF('Język - Language'!$B$30="Polski","INFO I SPORT","INFO AND SPORT")</f>
        <v>INFO I SPORT</v>
      </c>
      <c r="D37" s="378" t="s">
        <v>36</v>
      </c>
      <c r="E37" s="379"/>
      <c r="F37" s="425">
        <f>ROUND(F42*(1+0.3),-1)</f>
        <v>70</v>
      </c>
      <c r="G37" s="451">
        <v>84</v>
      </c>
      <c r="H37" s="425">
        <f>ROUND(H42*(1+0.3),-1)</f>
        <v>100</v>
      </c>
      <c r="I37" s="451">
        <v>120</v>
      </c>
      <c r="J37" s="425">
        <f>ROUND(J42*(1+0.3),-1)</f>
        <v>140</v>
      </c>
      <c r="K37" s="451">
        <v>168</v>
      </c>
      <c r="L37" s="425">
        <v>160</v>
      </c>
      <c r="M37" s="451">
        <v>192</v>
      </c>
      <c r="N37" s="425">
        <f>ROUND(N42*(1+0.3),-1)</f>
        <v>190</v>
      </c>
      <c r="O37" s="451">
        <v>228</v>
      </c>
      <c r="P37" s="489">
        <f>ROUND(P42*(1+0.3),-1)</f>
        <v>50</v>
      </c>
      <c r="Q37" s="546" t="s">
        <v>55</v>
      </c>
      <c r="R37" s="538">
        <f>ROUND(R42*(1+0.3),-1)</f>
        <v>70</v>
      </c>
      <c r="S37" s="556" t="s">
        <v>55</v>
      </c>
      <c r="T37" s="91"/>
      <c r="U37" s="270"/>
      <c r="V37" s="270"/>
      <c r="W37" s="270"/>
      <c r="X37" s="272"/>
      <c r="Y37" s="272"/>
      <c r="Z37" s="272"/>
      <c r="AA37" s="272"/>
      <c r="AB37" s="272"/>
      <c r="AC37" s="272"/>
      <c r="AD37" s="272"/>
      <c r="AE37" s="272"/>
      <c r="AF37" s="272"/>
      <c r="AG37" s="272"/>
    </row>
    <row r="38" spans="1:33" s="272" customFormat="1" ht="12.75" customHeight="1" outlineLevel="1">
      <c r="B38" s="984"/>
      <c r="C38" s="969"/>
      <c r="D38" s="382" t="s">
        <v>92</v>
      </c>
      <c r="E38" s="383"/>
      <c r="F38" s="427">
        <f>ROUND(F42*(1+0.3),-1)</f>
        <v>70</v>
      </c>
      <c r="G38" s="452">
        <v>84</v>
      </c>
      <c r="H38" s="427">
        <f>ROUND(H42*(1+0.3),-1)</f>
        <v>100</v>
      </c>
      <c r="I38" s="452">
        <v>120</v>
      </c>
      <c r="J38" s="427">
        <f>ROUND(J42*(1+0.3),-1)</f>
        <v>140</v>
      </c>
      <c r="K38" s="452">
        <v>168</v>
      </c>
      <c r="L38" s="427">
        <v>160</v>
      </c>
      <c r="M38" s="452">
        <v>192</v>
      </c>
      <c r="N38" s="427">
        <f>ROUND(N42*(1+0.3),-1)</f>
        <v>190</v>
      </c>
      <c r="O38" s="452">
        <v>228</v>
      </c>
      <c r="P38" s="490">
        <f>ROUND(P42*(1+0.3),-1)</f>
        <v>50</v>
      </c>
      <c r="Q38" s="547" t="s">
        <v>55</v>
      </c>
      <c r="R38" s="539">
        <f>ROUND(R42*(1+0.3),-1)</f>
        <v>70</v>
      </c>
      <c r="S38" s="557" t="s">
        <v>55</v>
      </c>
      <c r="T38" s="91"/>
      <c r="U38" s="270"/>
      <c r="V38" s="270"/>
      <c r="W38" s="270"/>
    </row>
    <row r="39" spans="1:33" s="272" customFormat="1" ht="12.75" customHeight="1" outlineLevel="1">
      <c r="B39" s="984"/>
      <c r="C39" s="969"/>
      <c r="D39" s="382" t="s">
        <v>137</v>
      </c>
      <c r="E39" s="383"/>
      <c r="F39" s="427">
        <f>ROUND(F42*(1+0.3),-1)</f>
        <v>70</v>
      </c>
      <c r="G39" s="452">
        <v>84</v>
      </c>
      <c r="H39" s="427">
        <f>ROUND(H42*(1+0.3),-1)</f>
        <v>100</v>
      </c>
      <c r="I39" s="452">
        <v>120</v>
      </c>
      <c r="J39" s="427">
        <f>ROUND(J42*(1+0.3),-1)</f>
        <v>140</v>
      </c>
      <c r="K39" s="452">
        <v>168</v>
      </c>
      <c r="L39" s="427">
        <v>160</v>
      </c>
      <c r="M39" s="452">
        <v>192</v>
      </c>
      <c r="N39" s="427">
        <f>ROUND(N42*(1+0.3),-1)</f>
        <v>190</v>
      </c>
      <c r="O39" s="452">
        <v>228</v>
      </c>
      <c r="P39" s="490">
        <f>ROUND(P42*(1+0.3),-1)</f>
        <v>50</v>
      </c>
      <c r="Q39" s="547" t="s">
        <v>55</v>
      </c>
      <c r="R39" s="539">
        <f>ROUND(R42*(1+0.3),-1)</f>
        <v>70</v>
      </c>
      <c r="S39" s="557" t="s">
        <v>55</v>
      </c>
      <c r="T39" s="91"/>
      <c r="U39" s="270"/>
      <c r="V39" s="270"/>
      <c r="W39" s="270"/>
    </row>
    <row r="40" spans="1:33" s="272" customFormat="1" ht="12.75" customHeight="1" outlineLevel="1">
      <c r="B40" s="984"/>
      <c r="C40" s="969"/>
      <c r="D40" s="382" t="s">
        <v>27</v>
      </c>
      <c r="E40" s="383"/>
      <c r="F40" s="427">
        <f>ROUND(F42*(1+0.3),-1)</f>
        <v>70</v>
      </c>
      <c r="G40" s="452">
        <v>84</v>
      </c>
      <c r="H40" s="427">
        <f>ROUND(H42*(1+0.3),-1)</f>
        <v>100</v>
      </c>
      <c r="I40" s="452">
        <v>120</v>
      </c>
      <c r="J40" s="427">
        <f>ROUND(J42*(1+0.3),-1)</f>
        <v>140</v>
      </c>
      <c r="K40" s="452">
        <v>168</v>
      </c>
      <c r="L40" s="427">
        <v>160</v>
      </c>
      <c r="M40" s="452">
        <v>192</v>
      </c>
      <c r="N40" s="427">
        <f>ROUND(N42*(1+0.3),-1)</f>
        <v>190</v>
      </c>
      <c r="O40" s="452">
        <v>228</v>
      </c>
      <c r="P40" s="490">
        <f>ROUND(P42*(1+0.3),-1)</f>
        <v>50</v>
      </c>
      <c r="Q40" s="547" t="s">
        <v>55</v>
      </c>
      <c r="R40" s="539">
        <f>ROUND(R42*(1+0.3),-1)</f>
        <v>70</v>
      </c>
      <c r="S40" s="557" t="s">
        <v>55</v>
      </c>
      <c r="T40" s="91"/>
      <c r="U40" s="270"/>
      <c r="V40" s="270"/>
      <c r="W40" s="270"/>
    </row>
    <row r="41" spans="1:33" s="272" customFormat="1" ht="12.75" customHeight="1" outlineLevel="1">
      <c r="B41" s="984"/>
      <c r="C41" s="969"/>
      <c r="D41" s="382" t="s">
        <v>138</v>
      </c>
      <c r="E41" s="383"/>
      <c r="F41" s="429">
        <f>ROUND(F42*(1+0.3),-1)</f>
        <v>70</v>
      </c>
      <c r="G41" s="453">
        <v>84</v>
      </c>
      <c r="H41" s="429">
        <f>ROUND(H42*(1+0.3),-1)</f>
        <v>100</v>
      </c>
      <c r="I41" s="453">
        <v>120</v>
      </c>
      <c r="J41" s="429">
        <f>ROUND(J42*(1+0.3),-1)</f>
        <v>140</v>
      </c>
      <c r="K41" s="453">
        <v>168</v>
      </c>
      <c r="L41" s="429">
        <v>160</v>
      </c>
      <c r="M41" s="453">
        <v>192</v>
      </c>
      <c r="N41" s="429">
        <f>ROUND(N42*(1+0.3),-1)</f>
        <v>190</v>
      </c>
      <c r="O41" s="453">
        <v>228</v>
      </c>
      <c r="P41" s="537">
        <f>ROUND(P42*(1+0.3),-1)</f>
        <v>50</v>
      </c>
      <c r="Q41" s="548" t="s">
        <v>55</v>
      </c>
      <c r="R41" s="460">
        <f>ROUND(R42*(1+0.3),-1)</f>
        <v>70</v>
      </c>
      <c r="S41" s="558" t="s">
        <v>55</v>
      </c>
      <c r="T41" s="91"/>
      <c r="U41" s="270"/>
      <c r="V41" s="270"/>
      <c r="W41" s="270"/>
    </row>
    <row r="42" spans="1:33" s="272" customFormat="1" ht="36" customHeight="1">
      <c r="B42" s="984"/>
      <c r="C42" s="970"/>
      <c r="D42" s="987" t="str">
        <f>D37&amp;", "&amp;D38&amp;", "&amp;D39&amp;", "&amp;D40&amp;", "&amp;D41</f>
        <v>WP Wiadomości, WP Opinie, WP Pogoda, WP SportoweFakty, Wawalove</v>
      </c>
      <c r="E42" s="988"/>
      <c r="F42" s="432">
        <v>55</v>
      </c>
      <c r="G42" s="447">
        <v>65</v>
      </c>
      <c r="H42" s="432">
        <v>80</v>
      </c>
      <c r="I42" s="447">
        <v>96</v>
      </c>
      <c r="J42" s="432">
        <v>105</v>
      </c>
      <c r="K42" s="447">
        <v>126</v>
      </c>
      <c r="L42" s="426" t="s">
        <v>55</v>
      </c>
      <c r="M42" s="447" t="s">
        <v>55</v>
      </c>
      <c r="N42" s="426">
        <v>145</v>
      </c>
      <c r="O42" s="447">
        <v>175</v>
      </c>
      <c r="P42" s="523">
        <v>40</v>
      </c>
      <c r="Q42" s="542" t="s">
        <v>55</v>
      </c>
      <c r="R42" s="525">
        <v>55</v>
      </c>
      <c r="S42" s="552" t="s">
        <v>55</v>
      </c>
      <c r="T42" s="91"/>
      <c r="U42" s="270"/>
      <c r="V42" s="270"/>
      <c r="W42" s="270"/>
    </row>
    <row r="43" spans="1:33" s="272" customFormat="1" ht="12.75" hidden="1" customHeight="1" outlineLevel="1">
      <c r="B43" s="984"/>
      <c r="C43" s="966" t="str">
        <f>IF('Język - Language'!$B$30="Polski","MOTORYZACJA","AUTOMOTIVE")</f>
        <v>MOTORYZACJA</v>
      </c>
      <c r="D43" s="378" t="s">
        <v>30</v>
      </c>
      <c r="E43" s="379"/>
      <c r="F43" s="425">
        <f>ROUND(F45*(1+0.3),-1)</f>
        <v>60</v>
      </c>
      <c r="G43" s="451">
        <v>72</v>
      </c>
      <c r="H43" s="425">
        <f>ROUND(H45*(1+0.3),-1)</f>
        <v>90</v>
      </c>
      <c r="I43" s="451">
        <v>108</v>
      </c>
      <c r="J43" s="425">
        <f>ROUND(J45*(1+0.3),-1)</f>
        <v>120</v>
      </c>
      <c r="K43" s="451">
        <v>144</v>
      </c>
      <c r="L43" s="425">
        <v>140</v>
      </c>
      <c r="M43" s="451">
        <v>168</v>
      </c>
      <c r="N43" s="425">
        <f>ROUND(N45*(1+0.3),-1)</f>
        <v>160</v>
      </c>
      <c r="O43" s="451">
        <v>192</v>
      </c>
      <c r="P43" s="489">
        <f>ROUND(P45*(1+0.3),-1)</f>
        <v>40</v>
      </c>
      <c r="Q43" s="546" t="s">
        <v>55</v>
      </c>
      <c r="R43" s="538">
        <f>ROUND(R45*(1+0.3),-1)</f>
        <v>60</v>
      </c>
      <c r="S43" s="556" t="s">
        <v>55</v>
      </c>
      <c r="T43" s="91"/>
      <c r="U43" s="270"/>
      <c r="V43" s="270"/>
      <c r="W43" s="270"/>
    </row>
    <row r="44" spans="1:33" s="272" customFormat="1" ht="12.75" hidden="1" customHeight="1" outlineLevel="1">
      <c r="B44" s="984"/>
      <c r="C44" s="922"/>
      <c r="D44" s="380" t="s">
        <v>37</v>
      </c>
      <c r="E44" s="381"/>
      <c r="F44" s="429">
        <f>ROUND(F45*(1+0.3),-1)</f>
        <v>60</v>
      </c>
      <c r="G44" s="453">
        <v>72</v>
      </c>
      <c r="H44" s="429">
        <f>ROUND(H45*(1+0.3),-1)</f>
        <v>90</v>
      </c>
      <c r="I44" s="453">
        <v>108</v>
      </c>
      <c r="J44" s="429">
        <f>ROUND(J45*(1+0.3),-1)</f>
        <v>120</v>
      </c>
      <c r="K44" s="453">
        <v>144</v>
      </c>
      <c r="L44" s="429">
        <v>140</v>
      </c>
      <c r="M44" s="453">
        <v>168</v>
      </c>
      <c r="N44" s="429">
        <f>ROUND(N45*(1+0.3),-1)</f>
        <v>160</v>
      </c>
      <c r="O44" s="453">
        <v>192</v>
      </c>
      <c r="P44" s="537">
        <f>ROUND(P45*(1+0.3),-1)</f>
        <v>40</v>
      </c>
      <c r="Q44" s="548" t="s">
        <v>55</v>
      </c>
      <c r="R44" s="460">
        <f>ROUND(R45*(1+0.3),-1)</f>
        <v>60</v>
      </c>
      <c r="S44" s="558" t="s">
        <v>55</v>
      </c>
      <c r="T44" s="91"/>
      <c r="U44" s="270"/>
      <c r="V44" s="270"/>
      <c r="W44" s="270"/>
    </row>
    <row r="45" spans="1:33" ht="36" customHeight="1" collapsed="1">
      <c r="A45" s="272"/>
      <c r="B45" s="984"/>
      <c r="C45" s="967"/>
      <c r="D45" s="731" t="str">
        <f>D43&amp;", "&amp;D44</f>
        <v>WP Autokult, WP Moto</v>
      </c>
      <c r="E45" s="732"/>
      <c r="F45" s="432">
        <v>45</v>
      </c>
      <c r="G45" s="447">
        <v>54</v>
      </c>
      <c r="H45" s="432">
        <v>68</v>
      </c>
      <c r="I45" s="447">
        <v>81</v>
      </c>
      <c r="J45" s="432">
        <v>90</v>
      </c>
      <c r="K45" s="447">
        <v>108</v>
      </c>
      <c r="L45" s="426" t="s">
        <v>55</v>
      </c>
      <c r="M45" s="447" t="s">
        <v>55</v>
      </c>
      <c r="N45" s="426">
        <v>120</v>
      </c>
      <c r="O45" s="447">
        <v>144</v>
      </c>
      <c r="P45" s="523">
        <v>34</v>
      </c>
      <c r="Q45" s="542" t="s">
        <v>55</v>
      </c>
      <c r="R45" s="525">
        <v>45</v>
      </c>
      <c r="S45" s="559" t="s">
        <v>55</v>
      </c>
      <c r="T45" s="93"/>
      <c r="U45" s="270"/>
      <c r="V45" s="270"/>
      <c r="W45" s="270"/>
      <c r="X45" s="272"/>
      <c r="Y45" s="272"/>
      <c r="Z45" s="272"/>
      <c r="AA45" s="272"/>
      <c r="AB45" s="272"/>
      <c r="AC45" s="272"/>
      <c r="AD45" s="272"/>
      <c r="AE45" s="272"/>
      <c r="AF45" s="272"/>
      <c r="AG45" s="272"/>
    </row>
    <row r="46" spans="1:33" s="272" customFormat="1" ht="12.75" hidden="1" customHeight="1" outlineLevel="1">
      <c r="B46" s="984"/>
      <c r="C46" s="968" t="str">
        <f>IF('Język - Language'!$B$30="Polski","ROZRYWKA","FUN")</f>
        <v>ROZRYWKA</v>
      </c>
      <c r="D46" s="378" t="s">
        <v>39</v>
      </c>
      <c r="E46" s="379"/>
      <c r="F46" s="425">
        <f>ROUND(F57*(1+0.3),-1)</f>
        <v>40</v>
      </c>
      <c r="G46" s="451">
        <v>48</v>
      </c>
      <c r="H46" s="425">
        <f>ROUND(H57*(1+0.3),-1)</f>
        <v>60</v>
      </c>
      <c r="I46" s="451">
        <v>72</v>
      </c>
      <c r="J46" s="425">
        <f>ROUND(J57*(1+0.3),-1)</f>
        <v>80</v>
      </c>
      <c r="K46" s="451">
        <v>96</v>
      </c>
      <c r="L46" s="425">
        <v>90</v>
      </c>
      <c r="M46" s="451">
        <v>108</v>
      </c>
      <c r="N46" s="425">
        <f>ROUND(N57*(1+0.3),-1)</f>
        <v>100</v>
      </c>
      <c r="O46" s="451">
        <v>120</v>
      </c>
      <c r="P46" s="489">
        <f>ROUND(P57*(1+0.3),-1)</f>
        <v>30</v>
      </c>
      <c r="Q46" s="546" t="s">
        <v>55</v>
      </c>
      <c r="R46" s="538">
        <f>ROUND(R57*(1+0.3),-1)</f>
        <v>40</v>
      </c>
      <c r="S46" s="560" t="s">
        <v>55</v>
      </c>
      <c r="T46" s="93"/>
      <c r="U46" s="270"/>
      <c r="V46" s="270"/>
      <c r="W46" s="270"/>
    </row>
    <row r="47" spans="1:33" s="272" customFormat="1" ht="12.75" hidden="1" customHeight="1" outlineLevel="1">
      <c r="B47" s="984"/>
      <c r="C47" s="969"/>
      <c r="D47" s="414" t="s">
        <v>147</v>
      </c>
      <c r="E47" s="415"/>
      <c r="F47" s="427">
        <f>ROUND(F57*(1+0.3),-1)</f>
        <v>40</v>
      </c>
      <c r="G47" s="452">
        <v>48</v>
      </c>
      <c r="H47" s="427">
        <f>ROUND(H57*(1+0.3),-1)</f>
        <v>60</v>
      </c>
      <c r="I47" s="452">
        <v>72</v>
      </c>
      <c r="J47" s="427">
        <f>ROUND(J57*(1+0.3),-1)</f>
        <v>80</v>
      </c>
      <c r="K47" s="452">
        <v>96</v>
      </c>
      <c r="L47" s="427">
        <v>90</v>
      </c>
      <c r="M47" s="452">
        <v>108</v>
      </c>
      <c r="N47" s="427">
        <f>ROUND(N57*(1+0.3),-1)</f>
        <v>100</v>
      </c>
      <c r="O47" s="452">
        <v>120</v>
      </c>
      <c r="P47" s="490">
        <f>ROUND(P57*(1+0.3),-1)</f>
        <v>30</v>
      </c>
      <c r="Q47" s="547" t="s">
        <v>55</v>
      </c>
      <c r="R47" s="539">
        <f>ROUND(R57*(1+0.3),-1)</f>
        <v>40</v>
      </c>
      <c r="S47" s="561" t="s">
        <v>55</v>
      </c>
      <c r="T47" s="93"/>
      <c r="U47" s="270"/>
      <c r="V47" s="270"/>
      <c r="W47" s="270"/>
    </row>
    <row r="48" spans="1:33" s="272" customFormat="1" ht="12.75" hidden="1" customHeight="1" outlineLevel="1">
      <c r="B48" s="984"/>
      <c r="C48" s="969"/>
      <c r="D48" s="382" t="s">
        <v>62</v>
      </c>
      <c r="E48" s="383"/>
      <c r="F48" s="427">
        <f>ROUND(F57*(1+0.3),-1)</f>
        <v>40</v>
      </c>
      <c r="G48" s="452">
        <v>48</v>
      </c>
      <c r="H48" s="427">
        <f>ROUND(H57*(1+0.3),-1)</f>
        <v>60</v>
      </c>
      <c r="I48" s="452">
        <v>72</v>
      </c>
      <c r="J48" s="427">
        <f>ROUND(J57*(1+0.3),-1)</f>
        <v>80</v>
      </c>
      <c r="K48" s="452">
        <v>96</v>
      </c>
      <c r="L48" s="427">
        <v>90</v>
      </c>
      <c r="M48" s="452">
        <v>108</v>
      </c>
      <c r="N48" s="427">
        <f>ROUND(N57*(1+0.3),-1)</f>
        <v>100</v>
      </c>
      <c r="O48" s="452">
        <v>120</v>
      </c>
      <c r="P48" s="490">
        <f>ROUND(P57*(1+0.3),-1)</f>
        <v>30</v>
      </c>
      <c r="Q48" s="547" t="s">
        <v>55</v>
      </c>
      <c r="R48" s="539">
        <f>ROUND(R57*(1+0.3),-1)</f>
        <v>40</v>
      </c>
      <c r="S48" s="561" t="s">
        <v>55</v>
      </c>
      <c r="T48" s="93"/>
      <c r="U48" s="270"/>
      <c r="V48" s="270"/>
      <c r="W48" s="270"/>
    </row>
    <row r="49" spans="1:28" s="272" customFormat="1" ht="12.75" hidden="1" customHeight="1" outlineLevel="1">
      <c r="B49" s="984"/>
      <c r="C49" s="969"/>
      <c r="D49" s="382" t="s">
        <v>42</v>
      </c>
      <c r="E49" s="383"/>
      <c r="F49" s="427">
        <f>ROUND(F57*(1+0.3),-1)</f>
        <v>40</v>
      </c>
      <c r="G49" s="452">
        <v>48</v>
      </c>
      <c r="H49" s="427">
        <f>ROUND(H57*(1+0.3),-1)</f>
        <v>60</v>
      </c>
      <c r="I49" s="452">
        <v>72</v>
      </c>
      <c r="J49" s="427">
        <f>ROUND(J57*(1+0.3),-1)</f>
        <v>80</v>
      </c>
      <c r="K49" s="452">
        <v>96</v>
      </c>
      <c r="L49" s="427">
        <v>90</v>
      </c>
      <c r="M49" s="452">
        <v>108</v>
      </c>
      <c r="N49" s="427">
        <f>ROUND(N57*(1+0.3),-1)</f>
        <v>100</v>
      </c>
      <c r="O49" s="452">
        <v>120</v>
      </c>
      <c r="P49" s="490">
        <f>ROUND(P57*(1+0.3),-1)</f>
        <v>30</v>
      </c>
      <c r="Q49" s="547" t="s">
        <v>55</v>
      </c>
      <c r="R49" s="539">
        <f>ROUND(R57*(1+0.3),-1)</f>
        <v>40</v>
      </c>
      <c r="S49" s="561" t="s">
        <v>55</v>
      </c>
      <c r="T49" s="93"/>
      <c r="U49" s="270"/>
      <c r="V49" s="270"/>
      <c r="W49" s="270"/>
    </row>
    <row r="50" spans="1:28" s="272" customFormat="1" ht="12.75" hidden="1" customHeight="1" outlineLevel="1">
      <c r="B50" s="984"/>
      <c r="C50" s="969"/>
      <c r="D50" s="382" t="s">
        <v>139</v>
      </c>
      <c r="E50" s="383"/>
      <c r="F50" s="427">
        <f>ROUND(F57*(1+0.3),-1)</f>
        <v>40</v>
      </c>
      <c r="G50" s="452">
        <v>48</v>
      </c>
      <c r="H50" s="427">
        <f>ROUND(H57*(1+0.3),-1)</f>
        <v>60</v>
      </c>
      <c r="I50" s="452">
        <v>72</v>
      </c>
      <c r="J50" s="427">
        <f>ROUND(J57*(1+0.3),-1)</f>
        <v>80</v>
      </c>
      <c r="K50" s="452">
        <v>96</v>
      </c>
      <c r="L50" s="427">
        <v>90</v>
      </c>
      <c r="M50" s="452">
        <v>108</v>
      </c>
      <c r="N50" s="427">
        <f>ROUND(N57*(1+0.3),-1)</f>
        <v>100</v>
      </c>
      <c r="O50" s="452">
        <v>120</v>
      </c>
      <c r="P50" s="490">
        <f>ROUND(P57*(1+0.3),-1)</f>
        <v>30</v>
      </c>
      <c r="Q50" s="547" t="s">
        <v>55</v>
      </c>
      <c r="R50" s="539">
        <f>ROUND(R57*(1+0.3),-1)</f>
        <v>40</v>
      </c>
      <c r="S50" s="561" t="s">
        <v>55</v>
      </c>
      <c r="T50" s="93"/>
      <c r="U50" s="270"/>
      <c r="V50" s="270"/>
      <c r="W50" s="270"/>
    </row>
    <row r="51" spans="1:28" s="272" customFormat="1" ht="12.75" hidden="1" customHeight="1" outlineLevel="1">
      <c r="B51" s="984"/>
      <c r="C51" s="969"/>
      <c r="D51" s="382" t="s">
        <v>140</v>
      </c>
      <c r="E51" s="383"/>
      <c r="F51" s="427">
        <f>ROUND(F57*(1+0.3),-1)</f>
        <v>40</v>
      </c>
      <c r="G51" s="452">
        <v>48</v>
      </c>
      <c r="H51" s="427">
        <f>ROUND(H57*(1+0.3),-1)</f>
        <v>60</v>
      </c>
      <c r="I51" s="452">
        <v>72</v>
      </c>
      <c r="J51" s="427">
        <f>ROUND(J57*(1+0.3),-1)</f>
        <v>80</v>
      </c>
      <c r="K51" s="452">
        <v>96</v>
      </c>
      <c r="L51" s="427">
        <v>90</v>
      </c>
      <c r="M51" s="452">
        <v>108</v>
      </c>
      <c r="N51" s="427">
        <f>ROUND(N57*(1+0.3),-1)</f>
        <v>100</v>
      </c>
      <c r="O51" s="452">
        <v>120</v>
      </c>
      <c r="P51" s="490">
        <f>ROUND(P57*(1+0.3),-1)</f>
        <v>30</v>
      </c>
      <c r="Q51" s="547" t="s">
        <v>55</v>
      </c>
      <c r="R51" s="539">
        <f>ROUND(R57*(1+0.3),-1)</f>
        <v>40</v>
      </c>
      <c r="S51" s="561" t="s">
        <v>55</v>
      </c>
      <c r="T51" s="93"/>
      <c r="U51" s="270"/>
      <c r="V51" s="270"/>
      <c r="W51" s="270"/>
    </row>
    <row r="52" spans="1:28" s="272" customFormat="1" ht="12.75" hidden="1" customHeight="1" outlineLevel="1">
      <c r="B52" s="984"/>
      <c r="C52" s="969"/>
      <c r="D52" s="382" t="s">
        <v>133</v>
      </c>
      <c r="E52" s="383"/>
      <c r="F52" s="427">
        <f>ROUND(F85*(1+0.3),-1)</f>
        <v>60</v>
      </c>
      <c r="G52" s="452">
        <v>72</v>
      </c>
      <c r="H52" s="427">
        <f>ROUND(H85*(1+0.3),-1)</f>
        <v>90</v>
      </c>
      <c r="I52" s="452">
        <v>108</v>
      </c>
      <c r="J52" s="427">
        <f>ROUND(J85*(1+0.3),-1)</f>
        <v>120</v>
      </c>
      <c r="K52" s="452">
        <v>144</v>
      </c>
      <c r="L52" s="427">
        <v>140</v>
      </c>
      <c r="M52" s="452">
        <v>168</v>
      </c>
      <c r="N52" s="427" t="s">
        <v>55</v>
      </c>
      <c r="O52" s="428" t="s">
        <v>55</v>
      </c>
      <c r="P52" s="490">
        <f>ROUND(P85*(1+0.3),-1)</f>
        <v>40</v>
      </c>
      <c r="Q52" s="547" t="s">
        <v>55</v>
      </c>
      <c r="R52" s="539">
        <f>ROUND(R85*(1+0.3),-1)</f>
        <v>60</v>
      </c>
      <c r="S52" s="561" t="s">
        <v>55</v>
      </c>
      <c r="T52" s="93"/>
      <c r="U52" s="270"/>
      <c r="V52" s="270"/>
      <c r="W52" s="270"/>
    </row>
    <row r="53" spans="1:28" s="272" customFormat="1" ht="12.75" hidden="1" customHeight="1" outlineLevel="1">
      <c r="B53" s="984"/>
      <c r="C53" s="969"/>
      <c r="D53" s="382" t="s">
        <v>141</v>
      </c>
      <c r="E53" s="383"/>
      <c r="F53" s="427">
        <f>ROUND(F85*(1+0.3),-1)</f>
        <v>60</v>
      </c>
      <c r="G53" s="452">
        <v>72</v>
      </c>
      <c r="H53" s="427">
        <f>ROUND(H85*(1+0.3),-1)</f>
        <v>90</v>
      </c>
      <c r="I53" s="452">
        <v>108</v>
      </c>
      <c r="J53" s="427">
        <f>ROUND(J85*(1+0.3),-1)</f>
        <v>120</v>
      </c>
      <c r="K53" s="452">
        <v>144</v>
      </c>
      <c r="L53" s="427">
        <v>140</v>
      </c>
      <c r="M53" s="452">
        <v>168</v>
      </c>
      <c r="N53" s="427" t="s">
        <v>55</v>
      </c>
      <c r="O53" s="428" t="s">
        <v>55</v>
      </c>
      <c r="P53" s="490">
        <f>ROUND(P85*(1+0.3),-1)</f>
        <v>40</v>
      </c>
      <c r="Q53" s="547" t="s">
        <v>55</v>
      </c>
      <c r="R53" s="539">
        <f>ROUND(R85*(1+0.3),-1)</f>
        <v>60</v>
      </c>
      <c r="S53" s="561" t="s">
        <v>55</v>
      </c>
      <c r="T53" s="93"/>
      <c r="U53" s="270"/>
      <c r="V53" s="270"/>
      <c r="W53" s="270"/>
    </row>
    <row r="54" spans="1:28" s="272" customFormat="1" ht="12.75" hidden="1" customHeight="1" outlineLevel="1">
      <c r="B54" s="984"/>
      <c r="C54" s="969"/>
      <c r="D54" s="382" t="s">
        <v>52</v>
      </c>
      <c r="E54" s="383"/>
      <c r="F54" s="427">
        <f>ROUND(F57*(1+1),-1)</f>
        <v>60</v>
      </c>
      <c r="G54" s="452">
        <v>72</v>
      </c>
      <c r="H54" s="427">
        <f>ROUND(H57*(1+1),-1)</f>
        <v>90</v>
      </c>
      <c r="I54" s="452">
        <v>108</v>
      </c>
      <c r="J54" s="427">
        <f>ROUND(J57*(1+1),-1)</f>
        <v>120</v>
      </c>
      <c r="K54" s="452">
        <v>144</v>
      </c>
      <c r="L54" s="427">
        <v>140</v>
      </c>
      <c r="M54" s="452">
        <v>168</v>
      </c>
      <c r="N54" s="427">
        <f>ROUND(N57*(1+1),-1)</f>
        <v>160</v>
      </c>
      <c r="O54" s="452">
        <v>192</v>
      </c>
      <c r="P54" s="490">
        <f>ROUND(P85*(1+0.3),-1)</f>
        <v>40</v>
      </c>
      <c r="Q54" s="547" t="s">
        <v>55</v>
      </c>
      <c r="R54" s="539">
        <f>ROUND(R85*(1+0.3),-1)</f>
        <v>60</v>
      </c>
      <c r="S54" s="561" t="s">
        <v>55</v>
      </c>
      <c r="T54" s="93"/>
      <c r="U54" s="270"/>
      <c r="V54" s="270"/>
      <c r="W54" s="270"/>
    </row>
    <row r="55" spans="1:28" s="272" customFormat="1" ht="12.75" hidden="1" customHeight="1" outlineLevel="1">
      <c r="B55" s="984"/>
      <c r="C55" s="969"/>
      <c r="D55" s="382" t="s">
        <v>142</v>
      </c>
      <c r="E55" s="383"/>
      <c r="F55" s="427">
        <f>ROUND(F57*(1+0.3),-1)</f>
        <v>40</v>
      </c>
      <c r="G55" s="452">
        <v>48</v>
      </c>
      <c r="H55" s="427">
        <f>ROUND(H57*(1+0.3),-1)</f>
        <v>60</v>
      </c>
      <c r="I55" s="452">
        <v>72</v>
      </c>
      <c r="J55" s="427">
        <f>ROUND(J57*(1+0.3),-1)</f>
        <v>80</v>
      </c>
      <c r="K55" s="452">
        <v>96</v>
      </c>
      <c r="L55" s="427">
        <v>90</v>
      </c>
      <c r="M55" s="452">
        <v>108</v>
      </c>
      <c r="N55" s="427">
        <f>ROUND(N57*(1+0.3),-1)</f>
        <v>100</v>
      </c>
      <c r="O55" s="452">
        <v>120</v>
      </c>
      <c r="P55" s="490">
        <f>ROUND(P57*(1+0.3),-1)</f>
        <v>30</v>
      </c>
      <c r="Q55" s="547" t="s">
        <v>55</v>
      </c>
      <c r="R55" s="539">
        <f>ROUND(R57*(1+0.3),-1)</f>
        <v>40</v>
      </c>
      <c r="S55" s="561" t="s">
        <v>55</v>
      </c>
      <c r="T55" s="93"/>
      <c r="U55" s="270"/>
      <c r="V55" s="270"/>
      <c r="W55" s="270"/>
    </row>
    <row r="56" spans="1:28" s="272" customFormat="1" ht="12.75" hidden="1" customHeight="1" outlineLevel="1">
      <c r="B56" s="984"/>
      <c r="C56" s="969"/>
      <c r="D56" s="380" t="s">
        <v>143</v>
      </c>
      <c r="E56" s="381"/>
      <c r="F56" s="429">
        <f>ROUND(F85*(1+0.3),-1)</f>
        <v>60</v>
      </c>
      <c r="G56" s="453">
        <v>72</v>
      </c>
      <c r="H56" s="429">
        <f>ROUND(H85*(1+0.3),-1)</f>
        <v>90</v>
      </c>
      <c r="I56" s="453">
        <v>108</v>
      </c>
      <c r="J56" s="429">
        <f>ROUND(J85*(1+0.3),-1)</f>
        <v>120</v>
      </c>
      <c r="K56" s="453">
        <v>144</v>
      </c>
      <c r="L56" s="429">
        <v>140</v>
      </c>
      <c r="M56" s="453">
        <v>168</v>
      </c>
      <c r="N56" s="429" t="s">
        <v>55</v>
      </c>
      <c r="O56" s="430" t="s">
        <v>55</v>
      </c>
      <c r="P56" s="537">
        <f>ROUND(P85*(1+0.3),-1)</f>
        <v>40</v>
      </c>
      <c r="Q56" s="548" t="s">
        <v>55</v>
      </c>
      <c r="R56" s="460">
        <f>ROUND(R85*(1+0.3),-1)</f>
        <v>60</v>
      </c>
      <c r="S56" s="562" t="s">
        <v>55</v>
      </c>
      <c r="T56" s="93"/>
      <c r="U56" s="270"/>
      <c r="V56" s="270"/>
      <c r="W56" s="270"/>
    </row>
    <row r="57" spans="1:28" s="232" customFormat="1" ht="42" customHeight="1" collapsed="1">
      <c r="A57" s="272"/>
      <c r="B57" s="984"/>
      <c r="C57" s="970"/>
      <c r="D57" s="987" t="str">
        <f>D46&amp;", "&amp;D47&amp;", "&amp;D48&amp;", "&amp;D49&amp;", "&amp;D50&amp;", "&amp;D51&amp;", "&amp;D52&amp;", "&amp;D53&amp;", "&amp;D54&amp;", "&amp;D55&amp;", "&amp;D56</f>
        <v>WP Film, WP Gry, WP Gwiazdy, WP Książki, WP Program TV, WP Teleshow, WP Pilot, WP Wideo, Pudelek, o2 serwisy, OpenFM</v>
      </c>
      <c r="E57" s="988"/>
      <c r="F57" s="432">
        <v>30</v>
      </c>
      <c r="G57" s="447">
        <v>36</v>
      </c>
      <c r="H57" s="432">
        <v>45</v>
      </c>
      <c r="I57" s="447">
        <v>54</v>
      </c>
      <c r="J57" s="432">
        <v>60</v>
      </c>
      <c r="K57" s="447">
        <v>72</v>
      </c>
      <c r="L57" s="426" t="s">
        <v>55</v>
      </c>
      <c r="M57" s="447" t="s">
        <v>55</v>
      </c>
      <c r="N57" s="426">
        <v>78</v>
      </c>
      <c r="O57" s="447">
        <v>94</v>
      </c>
      <c r="P57" s="521">
        <v>23</v>
      </c>
      <c r="Q57" s="542" t="s">
        <v>55</v>
      </c>
      <c r="R57" s="525">
        <v>30</v>
      </c>
      <c r="S57" s="552" t="s">
        <v>55</v>
      </c>
      <c r="T57" s="91"/>
      <c r="U57" s="270"/>
      <c r="V57" s="270"/>
      <c r="W57" s="270"/>
      <c r="X57" s="272"/>
      <c r="Y57" s="272"/>
      <c r="Z57" s="272"/>
      <c r="AA57" s="272"/>
      <c r="AB57" s="272"/>
    </row>
    <row r="58" spans="1:28" s="272" customFormat="1" ht="12.75" hidden="1" customHeight="1" outlineLevel="1">
      <c r="B58" s="984"/>
      <c r="C58" s="968" t="str">
        <f>IF('Język - Language'!$B$30="Polski","STYL ŻYCIA","LIFESTYLE")</f>
        <v>STYL ŻYCIA</v>
      </c>
      <c r="D58" s="378" t="s">
        <v>34</v>
      </c>
      <c r="E58" s="379"/>
      <c r="F58" s="425">
        <f>ROUND(F81*(1+0.3),-1)</f>
        <v>110</v>
      </c>
      <c r="G58" s="451">
        <v>132</v>
      </c>
      <c r="H58" s="425">
        <f>ROUND(H81*(1+0.3),-1)</f>
        <v>160</v>
      </c>
      <c r="I58" s="451">
        <v>192</v>
      </c>
      <c r="J58" s="425">
        <f>ROUND(J81*(1+0.3),-1)</f>
        <v>210</v>
      </c>
      <c r="K58" s="451">
        <v>252</v>
      </c>
      <c r="L58" s="425">
        <v>240</v>
      </c>
      <c r="M58" s="451">
        <v>288</v>
      </c>
      <c r="N58" s="425">
        <f>ROUND(N81*(1+0.3),-1)</f>
        <v>270</v>
      </c>
      <c r="O58" s="451">
        <v>324</v>
      </c>
      <c r="P58" s="489">
        <f>ROUND(P81*(1+0.3),-1)</f>
        <v>80</v>
      </c>
      <c r="Q58" s="546" t="s">
        <v>55</v>
      </c>
      <c r="R58" s="489">
        <f>ROUND(R81*(1+0.3),-1)</f>
        <v>110</v>
      </c>
      <c r="S58" s="556" t="s">
        <v>55</v>
      </c>
      <c r="T58" s="91"/>
      <c r="U58" s="270"/>
      <c r="V58" s="270"/>
      <c r="W58" s="270"/>
    </row>
    <row r="59" spans="1:28" s="272" customFormat="1" ht="12.75" hidden="1" customHeight="1" outlineLevel="1">
      <c r="B59" s="984"/>
      <c r="C59" s="969"/>
      <c r="D59" s="414" t="s">
        <v>221</v>
      </c>
      <c r="E59" s="415"/>
      <c r="F59" s="584">
        <f>ROUND(F68*(1+0.3),-1)</f>
        <v>60</v>
      </c>
      <c r="G59" s="585">
        <v>72</v>
      </c>
      <c r="H59" s="584">
        <f>ROUND(H68*(1+0.3),-1)</f>
        <v>90</v>
      </c>
      <c r="I59" s="585">
        <v>108</v>
      </c>
      <c r="J59" s="584">
        <f>ROUND(J68*(1+0.3),-1)</f>
        <v>120</v>
      </c>
      <c r="K59" s="585">
        <v>144</v>
      </c>
      <c r="L59" s="584">
        <v>140</v>
      </c>
      <c r="M59" s="585">
        <v>168</v>
      </c>
      <c r="N59" s="584">
        <f>ROUND(N68*(1+0.3),-1)</f>
        <v>160</v>
      </c>
      <c r="O59" s="585">
        <v>192</v>
      </c>
      <c r="P59" s="586">
        <f>ROUND(P68*(1+0.3),-1)</f>
        <v>40</v>
      </c>
      <c r="Q59" s="587" t="s">
        <v>55</v>
      </c>
      <c r="R59" s="586">
        <f>ROUND(R68*(1+0.3),-1)</f>
        <v>60</v>
      </c>
      <c r="S59" s="588" t="s">
        <v>55</v>
      </c>
      <c r="T59" s="91"/>
      <c r="U59" s="270"/>
      <c r="V59" s="270"/>
      <c r="W59" s="270"/>
    </row>
    <row r="60" spans="1:28" s="272" customFormat="1" ht="12.75" hidden="1" customHeight="1" outlineLevel="1">
      <c r="B60" s="984"/>
      <c r="C60" s="969"/>
      <c r="D60" s="382" t="s">
        <v>44</v>
      </c>
      <c r="E60" s="383"/>
      <c r="F60" s="427">
        <f>ROUND(F68*(1+0.3),-1)</f>
        <v>60</v>
      </c>
      <c r="G60" s="452">
        <v>72</v>
      </c>
      <c r="H60" s="427">
        <f>ROUND(H68*(1+0.3),-1)</f>
        <v>90</v>
      </c>
      <c r="I60" s="452">
        <v>108</v>
      </c>
      <c r="J60" s="427">
        <f>ROUND(J68*(1+0.3),-1)</f>
        <v>120</v>
      </c>
      <c r="K60" s="452">
        <v>144</v>
      </c>
      <c r="L60" s="427">
        <v>140</v>
      </c>
      <c r="M60" s="452">
        <v>168</v>
      </c>
      <c r="N60" s="427">
        <f>ROUND(N68*(1+0.3),-1)</f>
        <v>160</v>
      </c>
      <c r="O60" s="452">
        <v>192</v>
      </c>
      <c r="P60" s="490">
        <f>ROUND(P68*(1+0.3),-1)</f>
        <v>40</v>
      </c>
      <c r="Q60" s="547" t="s">
        <v>55</v>
      </c>
      <c r="R60" s="490">
        <f>ROUND(R68*(1+0.3),-1)</f>
        <v>60</v>
      </c>
      <c r="S60" s="557" t="s">
        <v>55</v>
      </c>
      <c r="T60" s="91"/>
      <c r="U60" s="270"/>
      <c r="V60" s="270"/>
      <c r="W60" s="270"/>
    </row>
    <row r="61" spans="1:28" s="272" customFormat="1" ht="12.75" hidden="1" customHeight="1" outlineLevel="1">
      <c r="B61" s="984"/>
      <c r="C61" s="969"/>
      <c r="D61" s="382" t="s">
        <v>41</v>
      </c>
      <c r="E61" s="383"/>
      <c r="F61" s="427">
        <f>ROUND(F68*(1+0.3),-1)</f>
        <v>60</v>
      </c>
      <c r="G61" s="452">
        <v>72</v>
      </c>
      <c r="H61" s="427">
        <f>ROUND(H68*(1+0.3),-1)</f>
        <v>90</v>
      </c>
      <c r="I61" s="452">
        <v>108</v>
      </c>
      <c r="J61" s="427">
        <f>ROUND(J68*(1+0.3),-1)</f>
        <v>120</v>
      </c>
      <c r="K61" s="452">
        <v>144</v>
      </c>
      <c r="L61" s="427">
        <v>140</v>
      </c>
      <c r="M61" s="452">
        <v>168</v>
      </c>
      <c r="N61" s="427">
        <f>ROUND(N68*(1+0.3),-1)</f>
        <v>160</v>
      </c>
      <c r="O61" s="452">
        <v>192</v>
      </c>
      <c r="P61" s="490">
        <f>ROUND(P68*(1+0.3),-1)</f>
        <v>40</v>
      </c>
      <c r="Q61" s="547" t="s">
        <v>55</v>
      </c>
      <c r="R61" s="490">
        <f>ROUND(R68*(1+0.3),-1)</f>
        <v>60</v>
      </c>
      <c r="S61" s="557" t="s">
        <v>55</v>
      </c>
      <c r="T61" s="91"/>
      <c r="U61" s="270"/>
      <c r="V61" s="270"/>
      <c r="W61" s="270"/>
    </row>
    <row r="62" spans="1:28" s="272" customFormat="1" ht="12.75" hidden="1" customHeight="1" outlineLevel="1">
      <c r="B62" s="984"/>
      <c r="C62" s="969"/>
      <c r="D62" s="382" t="s">
        <v>144</v>
      </c>
      <c r="E62" s="383"/>
      <c r="F62" s="427">
        <f>ROUND(F68*(1+0.3),-1)</f>
        <v>60</v>
      </c>
      <c r="G62" s="452">
        <v>72</v>
      </c>
      <c r="H62" s="427">
        <f>ROUND(H68*(1+0.3),-1)</f>
        <v>90</v>
      </c>
      <c r="I62" s="452">
        <v>108</v>
      </c>
      <c r="J62" s="427">
        <f>ROUND(J68*(1+0.3),-1)</f>
        <v>120</v>
      </c>
      <c r="K62" s="452">
        <v>144</v>
      </c>
      <c r="L62" s="427">
        <v>140</v>
      </c>
      <c r="M62" s="452">
        <v>168</v>
      </c>
      <c r="N62" s="427">
        <f>ROUND(N68*(1+0.3),-1)</f>
        <v>160</v>
      </c>
      <c r="O62" s="452">
        <v>192</v>
      </c>
      <c r="P62" s="490">
        <f>ROUND(P68*(1+0.3),-1)</f>
        <v>40</v>
      </c>
      <c r="Q62" s="547" t="s">
        <v>55</v>
      </c>
      <c r="R62" s="490">
        <f>ROUND(R68*(1+0.3),-1)</f>
        <v>60</v>
      </c>
      <c r="S62" s="557" t="s">
        <v>55</v>
      </c>
      <c r="T62" s="91"/>
      <c r="U62" s="270"/>
      <c r="V62" s="270"/>
      <c r="W62" s="270"/>
    </row>
    <row r="63" spans="1:28" s="272" customFormat="1" ht="12.75" hidden="1" customHeight="1" outlineLevel="1">
      <c r="B63" s="984"/>
      <c r="C63" s="969"/>
      <c r="D63" s="382" t="s">
        <v>43</v>
      </c>
      <c r="E63" s="383"/>
      <c r="F63" s="427">
        <f>ROUND(F68*(1+0.3),-1)</f>
        <v>60</v>
      </c>
      <c r="G63" s="452">
        <v>72</v>
      </c>
      <c r="H63" s="427">
        <f>ROUND(H68*(1+0.3),-1)</f>
        <v>90</v>
      </c>
      <c r="I63" s="452">
        <v>108</v>
      </c>
      <c r="J63" s="427">
        <f>ROUND(J68*(1+0.3),-1)</f>
        <v>120</v>
      </c>
      <c r="K63" s="452">
        <v>144</v>
      </c>
      <c r="L63" s="427">
        <v>140</v>
      </c>
      <c r="M63" s="452">
        <v>168</v>
      </c>
      <c r="N63" s="427">
        <f>ROUND(N68*(1+0.3),-1)</f>
        <v>160</v>
      </c>
      <c r="O63" s="452">
        <v>192</v>
      </c>
      <c r="P63" s="490">
        <f>ROUND(P68*(1+0.3),-1)</f>
        <v>40</v>
      </c>
      <c r="Q63" s="547" t="s">
        <v>55</v>
      </c>
      <c r="R63" s="490">
        <f>ROUND(R68*(1+0.3),-1)</f>
        <v>60</v>
      </c>
      <c r="S63" s="557" t="s">
        <v>55</v>
      </c>
      <c r="T63" s="91"/>
      <c r="U63" s="270"/>
      <c r="V63" s="270"/>
      <c r="W63" s="270"/>
    </row>
    <row r="64" spans="1:28" s="272" customFormat="1" ht="12.75" hidden="1" customHeight="1" outlineLevel="1">
      <c r="B64" s="984"/>
      <c r="C64" s="969"/>
      <c r="D64" s="382" t="s">
        <v>35</v>
      </c>
      <c r="E64" s="383"/>
      <c r="F64" s="427">
        <f>ROUND(F68*(1+0.3),-1)</f>
        <v>60</v>
      </c>
      <c r="G64" s="452">
        <v>72</v>
      </c>
      <c r="H64" s="427">
        <f>ROUND(H68*(1+0.3),-1)</f>
        <v>90</v>
      </c>
      <c r="I64" s="452">
        <v>108</v>
      </c>
      <c r="J64" s="427">
        <f>ROUND(J68*(1+0.3),-1)</f>
        <v>120</v>
      </c>
      <c r="K64" s="452">
        <v>144</v>
      </c>
      <c r="L64" s="427">
        <v>140</v>
      </c>
      <c r="M64" s="452">
        <v>168</v>
      </c>
      <c r="N64" s="427">
        <f>ROUND(N68*(1+0.3),-1)</f>
        <v>160</v>
      </c>
      <c r="O64" s="452">
        <v>192</v>
      </c>
      <c r="P64" s="490">
        <f>ROUND(P68*(1+0.3),-1)</f>
        <v>40</v>
      </c>
      <c r="Q64" s="547" t="s">
        <v>55</v>
      </c>
      <c r="R64" s="490">
        <f>ROUND(R68*(1+0.3),-1)</f>
        <v>60</v>
      </c>
      <c r="S64" s="557" t="s">
        <v>55</v>
      </c>
      <c r="T64" s="91"/>
      <c r="U64" s="270"/>
      <c r="V64" s="270"/>
      <c r="W64" s="270"/>
    </row>
    <row r="65" spans="1:28" s="272" customFormat="1" ht="12.75" hidden="1" customHeight="1" outlineLevel="1">
      <c r="B65" s="984"/>
      <c r="C65" s="969"/>
      <c r="D65" s="382" t="s">
        <v>139</v>
      </c>
      <c r="E65" s="383"/>
      <c r="F65" s="427">
        <f>ROUND(F57*(1+0.3),-1)</f>
        <v>40</v>
      </c>
      <c r="G65" s="452">
        <v>48</v>
      </c>
      <c r="H65" s="427">
        <f>ROUND(H57*(1+0.3),-1)</f>
        <v>60</v>
      </c>
      <c r="I65" s="452">
        <v>72</v>
      </c>
      <c r="J65" s="427">
        <f>ROUND(J57*(1+0.3),-1)</f>
        <v>80</v>
      </c>
      <c r="K65" s="452">
        <v>96</v>
      </c>
      <c r="L65" s="427">
        <v>90</v>
      </c>
      <c r="M65" s="452">
        <v>108</v>
      </c>
      <c r="N65" s="427">
        <f>ROUND(N57*(1+0.3),-1)</f>
        <v>100</v>
      </c>
      <c r="O65" s="452">
        <v>120</v>
      </c>
      <c r="P65" s="490">
        <f>ROUND(P57*(1+0.3),-1)</f>
        <v>30</v>
      </c>
      <c r="Q65" s="547" t="s">
        <v>55</v>
      </c>
      <c r="R65" s="490">
        <f>ROUND(R57*(1+0.3),-1)</f>
        <v>40</v>
      </c>
      <c r="S65" s="557" t="s">
        <v>55</v>
      </c>
      <c r="T65" s="91"/>
      <c r="U65" s="270"/>
      <c r="V65" s="270"/>
      <c r="W65" s="270"/>
    </row>
    <row r="66" spans="1:28" s="272" customFormat="1" ht="12.75" hidden="1" customHeight="1" outlineLevel="1">
      <c r="B66" s="984"/>
      <c r="C66" s="969"/>
      <c r="D66" s="382" t="s">
        <v>40</v>
      </c>
      <c r="E66" s="383"/>
      <c r="F66" s="427">
        <f>ROUND(F68*(1+0.3),-1)</f>
        <v>60</v>
      </c>
      <c r="G66" s="452">
        <v>72</v>
      </c>
      <c r="H66" s="427">
        <f>ROUND(H68*(1+0.3),-1)</f>
        <v>90</v>
      </c>
      <c r="I66" s="452">
        <v>108</v>
      </c>
      <c r="J66" s="427">
        <f>ROUND(J68*(1+0.3),-1)</f>
        <v>120</v>
      </c>
      <c r="K66" s="452">
        <v>144</v>
      </c>
      <c r="L66" s="427">
        <v>140</v>
      </c>
      <c r="M66" s="452">
        <v>168</v>
      </c>
      <c r="N66" s="427">
        <f>ROUND(N68*(1+0.3),-1)</f>
        <v>160</v>
      </c>
      <c r="O66" s="452">
        <v>192</v>
      </c>
      <c r="P66" s="490">
        <f>ROUND(P68*(1+0.3),-1)</f>
        <v>40</v>
      </c>
      <c r="Q66" s="547" t="s">
        <v>55</v>
      </c>
      <c r="R66" s="490">
        <f>ROUND(R68*(1+0.3),-1)</f>
        <v>60</v>
      </c>
      <c r="S66" s="557" t="s">
        <v>55</v>
      </c>
      <c r="T66" s="91"/>
      <c r="U66" s="270"/>
      <c r="V66" s="270"/>
      <c r="W66" s="270"/>
    </row>
    <row r="67" spans="1:28" s="272" customFormat="1" ht="12.75" hidden="1" customHeight="1" outlineLevel="1">
      <c r="B67" s="984"/>
      <c r="C67" s="969"/>
      <c r="D67" s="380" t="s">
        <v>143</v>
      </c>
      <c r="E67" s="381"/>
      <c r="F67" s="429">
        <f>ROUND(F85*(1+0.3),-1)</f>
        <v>60</v>
      </c>
      <c r="G67" s="453">
        <v>72</v>
      </c>
      <c r="H67" s="429">
        <f>ROUND(H85*(1+0.3),-1)</f>
        <v>90</v>
      </c>
      <c r="I67" s="453">
        <v>108</v>
      </c>
      <c r="J67" s="429">
        <f>ROUND(J85*(1+0.3),-1)</f>
        <v>120</v>
      </c>
      <c r="K67" s="453">
        <v>144</v>
      </c>
      <c r="L67" s="429">
        <v>140</v>
      </c>
      <c r="M67" s="453">
        <v>168</v>
      </c>
      <c r="N67" s="429" t="s">
        <v>55</v>
      </c>
      <c r="O67" s="430" t="s">
        <v>55</v>
      </c>
      <c r="P67" s="537">
        <f>ROUND(P85*(1+0.3),-1)</f>
        <v>40</v>
      </c>
      <c r="Q67" s="548" t="s">
        <v>55</v>
      </c>
      <c r="R67" s="537">
        <f>ROUND(R85*(1+0.3),-1)</f>
        <v>60</v>
      </c>
      <c r="S67" s="553" t="s">
        <v>55</v>
      </c>
      <c r="T67" s="91"/>
      <c r="U67" s="270"/>
      <c r="V67" s="270"/>
      <c r="W67" s="270"/>
    </row>
    <row r="68" spans="1:28" ht="36" customHeight="1" collapsed="1">
      <c r="A68" s="272"/>
      <c r="B68" s="984"/>
      <c r="C68" s="970"/>
      <c r="D68" s="731" t="str">
        <f>D58&amp;", "&amp;D59&amp;", "&amp;D60&amp;", "&amp;D61&amp;", "&amp;D62&amp;", "&amp;D63&amp;", "&amp;D64&amp;", "&amp;D65&amp;", "&amp;D66&amp;", "&amp;D67</f>
        <v>WP abcZdrowie, WP Dom, WP Facet, WP Kobieta, Kafeteria.pl, WP Kuchnia, WP Parenting, WP Program TV, WP Turystyka, OpenFM</v>
      </c>
      <c r="E68" s="732"/>
      <c r="F68" s="432">
        <v>45</v>
      </c>
      <c r="G68" s="447">
        <v>54</v>
      </c>
      <c r="H68" s="432">
        <v>68</v>
      </c>
      <c r="I68" s="447">
        <v>81</v>
      </c>
      <c r="J68" s="432">
        <v>90</v>
      </c>
      <c r="K68" s="447">
        <v>108</v>
      </c>
      <c r="L68" s="426" t="s">
        <v>55</v>
      </c>
      <c r="M68" s="447" t="s">
        <v>55</v>
      </c>
      <c r="N68" s="426">
        <v>120</v>
      </c>
      <c r="O68" s="447">
        <v>144</v>
      </c>
      <c r="P68" s="521">
        <v>34</v>
      </c>
      <c r="Q68" s="542" t="s">
        <v>55</v>
      </c>
      <c r="R68" s="521">
        <v>45</v>
      </c>
      <c r="S68" s="563" t="s">
        <v>55</v>
      </c>
      <c r="T68" s="91"/>
      <c r="U68" s="270"/>
      <c r="V68" s="270"/>
      <c r="W68" s="270"/>
      <c r="X68" s="272"/>
      <c r="Y68" s="272"/>
      <c r="Z68" s="272"/>
      <c r="AA68" s="272"/>
      <c r="AB68" s="272"/>
    </row>
    <row r="69" spans="1:28" s="272" customFormat="1" ht="12.75" hidden="1" customHeight="1" outlineLevel="1">
      <c r="B69" s="984"/>
      <c r="C69" s="966" t="str">
        <f>IF('Język - Language'!$B$30="Polski","TECHNOLOGIA","TECHNOLOGY")</f>
        <v>TECHNOLOGIA</v>
      </c>
      <c r="D69" s="378" t="s">
        <v>145</v>
      </c>
      <c r="E69" s="379"/>
      <c r="F69" s="425">
        <f>ROUND(F75*(1+0.3),-1)</f>
        <v>60</v>
      </c>
      <c r="G69" s="451">
        <v>72</v>
      </c>
      <c r="H69" s="425">
        <f>ROUND(H75*(1+0.3),-1)</f>
        <v>90</v>
      </c>
      <c r="I69" s="451">
        <v>108</v>
      </c>
      <c r="J69" s="425">
        <f>ROUND(J75*(1+0.3),-1)</f>
        <v>120</v>
      </c>
      <c r="K69" s="451">
        <v>144</v>
      </c>
      <c r="L69" s="425">
        <v>140</v>
      </c>
      <c r="M69" s="451">
        <v>168</v>
      </c>
      <c r="N69" s="425">
        <f>ROUND(N75*(1+0.3),-1)</f>
        <v>160</v>
      </c>
      <c r="O69" s="451">
        <v>192</v>
      </c>
      <c r="P69" s="500">
        <f>ROUND(P75*(1+0.3),-1)</f>
        <v>40</v>
      </c>
      <c r="Q69" s="546" t="s">
        <v>55</v>
      </c>
      <c r="R69" s="500">
        <f>ROUND(R75*(1+0.3),-1)</f>
        <v>60</v>
      </c>
      <c r="S69" s="556" t="s">
        <v>55</v>
      </c>
      <c r="T69" s="91"/>
      <c r="U69" s="270"/>
      <c r="V69" s="270"/>
      <c r="W69" s="270"/>
    </row>
    <row r="70" spans="1:28" s="272" customFormat="1" ht="12.75" hidden="1" customHeight="1" outlineLevel="1">
      <c r="B70" s="984"/>
      <c r="C70" s="922"/>
      <c r="D70" s="382" t="s">
        <v>147</v>
      </c>
      <c r="E70" s="383"/>
      <c r="F70" s="427">
        <f>ROUND(F75*(1+0.3),-1)</f>
        <v>60</v>
      </c>
      <c r="G70" s="452">
        <v>72</v>
      </c>
      <c r="H70" s="427">
        <f>ROUND(H75*(1+0.3),-1)</f>
        <v>90</v>
      </c>
      <c r="I70" s="452">
        <v>108</v>
      </c>
      <c r="J70" s="427">
        <f>ROUND(J75*(1+0.3),-1)</f>
        <v>120</v>
      </c>
      <c r="K70" s="452">
        <v>144</v>
      </c>
      <c r="L70" s="427">
        <v>140</v>
      </c>
      <c r="M70" s="452">
        <v>168</v>
      </c>
      <c r="N70" s="427">
        <f>ROUND(N75*(1+0.3),-1)</f>
        <v>160</v>
      </c>
      <c r="O70" s="452">
        <v>192</v>
      </c>
      <c r="P70" s="501">
        <f>ROUND(P75*(1+0.3),-1)</f>
        <v>40</v>
      </c>
      <c r="Q70" s="547" t="s">
        <v>55</v>
      </c>
      <c r="R70" s="501">
        <f>ROUND(R75*(1+0.3),-1)</f>
        <v>60</v>
      </c>
      <c r="S70" s="557" t="s">
        <v>55</v>
      </c>
      <c r="T70" s="91"/>
      <c r="U70" s="270"/>
      <c r="V70" s="270"/>
      <c r="W70" s="270"/>
    </row>
    <row r="71" spans="1:28" s="272" customFormat="1" ht="12.75" hidden="1" customHeight="1" outlineLevel="1">
      <c r="B71" s="984"/>
      <c r="C71" s="922"/>
      <c r="D71" s="382" t="s">
        <v>33</v>
      </c>
      <c r="E71" s="383"/>
      <c r="F71" s="427">
        <f>ROUND(F75*(1+0.3),-1)</f>
        <v>60</v>
      </c>
      <c r="G71" s="452">
        <v>72</v>
      </c>
      <c r="H71" s="427">
        <f>ROUND(H75*(1+0.3),-1)</f>
        <v>90</v>
      </c>
      <c r="I71" s="452">
        <v>108</v>
      </c>
      <c r="J71" s="427">
        <f>ROUND(J75*(1+0.3),-1)</f>
        <v>120</v>
      </c>
      <c r="K71" s="452">
        <v>144</v>
      </c>
      <c r="L71" s="427">
        <v>140</v>
      </c>
      <c r="M71" s="452">
        <v>168</v>
      </c>
      <c r="N71" s="427">
        <f>ROUND(N75*(1+0.3),-1)</f>
        <v>160</v>
      </c>
      <c r="O71" s="452">
        <v>192</v>
      </c>
      <c r="P71" s="501">
        <f>ROUND(P75*(1+0.3),-1)</f>
        <v>40</v>
      </c>
      <c r="Q71" s="547" t="s">
        <v>55</v>
      </c>
      <c r="R71" s="501">
        <f>ROUND(R75*(1+0.3),-1)</f>
        <v>60</v>
      </c>
      <c r="S71" s="557" t="s">
        <v>55</v>
      </c>
      <c r="T71" s="91"/>
      <c r="U71" s="270"/>
      <c r="V71" s="270"/>
      <c r="W71" s="270"/>
    </row>
    <row r="72" spans="1:28" s="272" customFormat="1" ht="12.75" hidden="1" customHeight="1" outlineLevel="1">
      <c r="B72" s="984"/>
      <c r="C72" s="922"/>
      <c r="D72" s="382" t="s">
        <v>31</v>
      </c>
      <c r="E72" s="383"/>
      <c r="F72" s="427">
        <f>ROUND(F75*(1+0.3),-1)</f>
        <v>60</v>
      </c>
      <c r="G72" s="452">
        <v>72</v>
      </c>
      <c r="H72" s="427">
        <f>ROUND(H75*(1+0.3),-1)</f>
        <v>90</v>
      </c>
      <c r="I72" s="452">
        <v>108</v>
      </c>
      <c r="J72" s="427">
        <f>ROUND(J75*(1+0.3),-1)</f>
        <v>120</v>
      </c>
      <c r="K72" s="452">
        <v>144</v>
      </c>
      <c r="L72" s="427">
        <v>140</v>
      </c>
      <c r="M72" s="452">
        <v>168</v>
      </c>
      <c r="N72" s="427">
        <f>ROUND(N75*(1+0.3),-1)</f>
        <v>160</v>
      </c>
      <c r="O72" s="452">
        <v>192</v>
      </c>
      <c r="P72" s="501">
        <f>ROUND(P75*(1+0.3),-1)</f>
        <v>40</v>
      </c>
      <c r="Q72" s="547" t="s">
        <v>55</v>
      </c>
      <c r="R72" s="501">
        <f>ROUND(R75*(1+0.3),-1)</f>
        <v>60</v>
      </c>
      <c r="S72" s="557" t="s">
        <v>55</v>
      </c>
      <c r="T72" s="91"/>
      <c r="U72" s="270"/>
      <c r="V72" s="270"/>
      <c r="W72" s="270"/>
    </row>
    <row r="73" spans="1:28" s="272" customFormat="1" ht="12.75" hidden="1" customHeight="1" outlineLevel="1">
      <c r="B73" s="984"/>
      <c r="C73" s="922"/>
      <c r="D73" s="382" t="s">
        <v>32</v>
      </c>
      <c r="E73" s="383"/>
      <c r="F73" s="427">
        <f>ROUND(F75*(1+0.3),-1)</f>
        <v>60</v>
      </c>
      <c r="G73" s="452">
        <v>72</v>
      </c>
      <c r="H73" s="427">
        <f>ROUND(H75*(1+0.3),-1)</f>
        <v>90</v>
      </c>
      <c r="I73" s="452">
        <v>108</v>
      </c>
      <c r="J73" s="427">
        <f>ROUND(J75*(1+0.3),-1)</f>
        <v>120</v>
      </c>
      <c r="K73" s="452">
        <v>144</v>
      </c>
      <c r="L73" s="427">
        <v>140</v>
      </c>
      <c r="M73" s="452">
        <v>168</v>
      </c>
      <c r="N73" s="427">
        <f>ROUND(N75*(1+0.3),-1)</f>
        <v>160</v>
      </c>
      <c r="O73" s="452">
        <v>192</v>
      </c>
      <c r="P73" s="501">
        <f>ROUND(P75*(1+0.3),-1)</f>
        <v>40</v>
      </c>
      <c r="Q73" s="547" t="s">
        <v>55</v>
      </c>
      <c r="R73" s="501">
        <f>ROUND(R75*(1+0.3),-1)</f>
        <v>60</v>
      </c>
      <c r="S73" s="557" t="s">
        <v>55</v>
      </c>
      <c r="T73" s="91"/>
      <c r="U73" s="270"/>
      <c r="V73" s="270"/>
      <c r="W73" s="270"/>
    </row>
    <row r="74" spans="1:28" s="272" customFormat="1" ht="12.75" hidden="1" customHeight="1" outlineLevel="1">
      <c r="B74" s="984"/>
      <c r="C74" s="922"/>
      <c r="D74" s="380" t="s">
        <v>148</v>
      </c>
      <c r="E74" s="381"/>
      <c r="F74" s="429">
        <f>ROUND(F75*(1+0.3),-1)</f>
        <v>60</v>
      </c>
      <c r="G74" s="453">
        <v>72</v>
      </c>
      <c r="H74" s="429">
        <f>ROUND(H75*(1+0.3),-1)</f>
        <v>90</v>
      </c>
      <c r="I74" s="453">
        <v>108</v>
      </c>
      <c r="J74" s="429">
        <f>ROUND(J75*(1+0.3),-1)</f>
        <v>120</v>
      </c>
      <c r="K74" s="453">
        <v>144</v>
      </c>
      <c r="L74" s="429">
        <v>140</v>
      </c>
      <c r="M74" s="453">
        <v>168</v>
      </c>
      <c r="N74" s="429">
        <f>ROUND(N75*(1+0.3),-1)</f>
        <v>160</v>
      </c>
      <c r="O74" s="453">
        <v>192</v>
      </c>
      <c r="P74" s="502">
        <f>ROUND(P75*(1+0.3),-1)</f>
        <v>40</v>
      </c>
      <c r="Q74" s="548" t="s">
        <v>55</v>
      </c>
      <c r="R74" s="502">
        <f>ROUND(R75*(1+0.3),-1)</f>
        <v>60</v>
      </c>
      <c r="S74" s="558" t="s">
        <v>55</v>
      </c>
      <c r="T74" s="91"/>
      <c r="U74" s="270"/>
      <c r="V74" s="270"/>
      <c r="W74" s="270"/>
    </row>
    <row r="75" spans="1:28" s="84" customFormat="1" ht="36" customHeight="1" collapsed="1">
      <c r="A75" s="272"/>
      <c r="B75" s="984"/>
      <c r="C75" s="967"/>
      <c r="D75" s="731" t="str">
        <f>D69&amp;", "&amp;D70&amp;", "&amp;D71&amp;", "&amp;D72&amp;", "&amp;D73&amp;", "&amp;D74</f>
        <v>WP Tech, WP Gry, WP Fotoblogia, WP Gadżetomania, WP Komórkomania, dobreprogramy.pl⁵</v>
      </c>
      <c r="E75" s="732"/>
      <c r="F75" s="432">
        <v>45</v>
      </c>
      <c r="G75" s="446">
        <v>54</v>
      </c>
      <c r="H75" s="432">
        <v>68</v>
      </c>
      <c r="I75" s="446">
        <v>81</v>
      </c>
      <c r="J75" s="432">
        <v>90</v>
      </c>
      <c r="K75" s="446">
        <v>108</v>
      </c>
      <c r="L75" s="426" t="s">
        <v>55</v>
      </c>
      <c r="M75" s="446" t="s">
        <v>55</v>
      </c>
      <c r="N75" s="426">
        <v>120</v>
      </c>
      <c r="O75" s="446">
        <v>144</v>
      </c>
      <c r="P75" s="521">
        <v>34</v>
      </c>
      <c r="Q75" s="551" t="s">
        <v>55</v>
      </c>
      <c r="R75" s="525">
        <v>45</v>
      </c>
      <c r="S75" s="563" t="s">
        <v>55</v>
      </c>
      <c r="T75" s="91"/>
      <c r="U75" s="270"/>
      <c r="V75" s="270"/>
      <c r="W75" s="270"/>
      <c r="X75" s="272"/>
      <c r="Y75" s="272"/>
      <c r="Z75" s="272"/>
      <c r="AA75" s="272"/>
      <c r="AB75" s="272"/>
    </row>
    <row r="76" spans="1:28" s="272" customFormat="1" ht="12.75" hidden="1" customHeight="1" outlineLevel="1">
      <c r="B76" s="984"/>
      <c r="C76" s="968" t="str">
        <f>IF('Język - Language'!$B$30="Polski","ZDROWIE I PARENTING","HEALTH AND PARENTING")</f>
        <v>ZDROWIE I PARENTING</v>
      </c>
      <c r="D76" s="378" t="s">
        <v>34</v>
      </c>
      <c r="E76" s="379"/>
      <c r="F76" s="425">
        <f>ROUND(F81*(1+0.3),-1)</f>
        <v>110</v>
      </c>
      <c r="G76" s="451">
        <v>132</v>
      </c>
      <c r="H76" s="425">
        <f>ROUND(H81*(1+0.3),-1)</f>
        <v>160</v>
      </c>
      <c r="I76" s="451">
        <v>192</v>
      </c>
      <c r="J76" s="425">
        <f>ROUND(J81*(1+0.3),-1)</f>
        <v>210</v>
      </c>
      <c r="K76" s="451">
        <v>252</v>
      </c>
      <c r="L76" s="425">
        <v>240</v>
      </c>
      <c r="M76" s="451">
        <v>288</v>
      </c>
      <c r="N76" s="425">
        <f>ROUND(N81*(1+0.3),-1)</f>
        <v>270</v>
      </c>
      <c r="O76" s="451">
        <v>324</v>
      </c>
      <c r="P76" s="500">
        <f>ROUND(P81*(1+0.3),-1)</f>
        <v>80</v>
      </c>
      <c r="Q76" s="546" t="s">
        <v>55</v>
      </c>
      <c r="R76" s="500">
        <f>ROUND(R81*(1+0.3),-1)</f>
        <v>110</v>
      </c>
      <c r="S76" s="556" t="s">
        <v>55</v>
      </c>
      <c r="T76" s="91"/>
      <c r="U76" s="270"/>
      <c r="V76" s="270"/>
      <c r="W76" s="270"/>
    </row>
    <row r="77" spans="1:28" s="272" customFormat="1" ht="12.75" hidden="1" customHeight="1" outlineLevel="1">
      <c r="B77" s="984"/>
      <c r="C77" s="969"/>
      <c r="D77" s="382" t="s">
        <v>146</v>
      </c>
      <c r="E77" s="383"/>
      <c r="F77" s="427">
        <f>ROUND(F81*(1+0.3),-1)</f>
        <v>110</v>
      </c>
      <c r="G77" s="452">
        <v>132</v>
      </c>
      <c r="H77" s="427">
        <f>ROUND(H81*(1+0.3),-1)</f>
        <v>160</v>
      </c>
      <c r="I77" s="452">
        <v>192</v>
      </c>
      <c r="J77" s="427">
        <f>ROUND(J81*(1+0.3),-1)</f>
        <v>210</v>
      </c>
      <c r="K77" s="452">
        <v>252</v>
      </c>
      <c r="L77" s="427">
        <v>240</v>
      </c>
      <c r="M77" s="452">
        <v>288</v>
      </c>
      <c r="N77" s="427">
        <f>ROUND(N81*(1+0.3),-1)</f>
        <v>270</v>
      </c>
      <c r="O77" s="452">
        <v>324</v>
      </c>
      <c r="P77" s="501">
        <f>ROUND(P81*(1+0.3),-1)</f>
        <v>80</v>
      </c>
      <c r="Q77" s="547" t="s">
        <v>55</v>
      </c>
      <c r="R77" s="501">
        <f>ROUND(R81*(1+0.3),-1)</f>
        <v>110</v>
      </c>
      <c r="S77" s="557" t="s">
        <v>55</v>
      </c>
      <c r="T77" s="91"/>
      <c r="U77" s="270"/>
      <c r="V77" s="270"/>
      <c r="W77" s="270"/>
    </row>
    <row r="78" spans="1:28" s="272" customFormat="1" ht="12.75" hidden="1" customHeight="1" outlineLevel="1">
      <c r="B78" s="984"/>
      <c r="C78" s="969"/>
      <c r="D78" s="382" t="s">
        <v>35</v>
      </c>
      <c r="E78" s="383"/>
      <c r="F78" s="427">
        <f>ROUND(F81*(1+0.3),-1)</f>
        <v>110</v>
      </c>
      <c r="G78" s="452">
        <v>132</v>
      </c>
      <c r="H78" s="427">
        <f>ROUND(H81*(1+0.3),-1)</f>
        <v>160</v>
      </c>
      <c r="I78" s="452">
        <v>192</v>
      </c>
      <c r="J78" s="427">
        <f>ROUND(J81*(1+0.3),-1)</f>
        <v>210</v>
      </c>
      <c r="K78" s="452">
        <v>252</v>
      </c>
      <c r="L78" s="427">
        <v>240</v>
      </c>
      <c r="M78" s="452">
        <v>288</v>
      </c>
      <c r="N78" s="427">
        <f>ROUND(N81*(1+0.3),-1)</f>
        <v>270</v>
      </c>
      <c r="O78" s="452">
        <v>324</v>
      </c>
      <c r="P78" s="501">
        <f>ROUND(P81*(1+0.3),-1)</f>
        <v>80</v>
      </c>
      <c r="Q78" s="547" t="s">
        <v>55</v>
      </c>
      <c r="R78" s="501">
        <f>ROUND(R81*(1+0.3),-1)</f>
        <v>110</v>
      </c>
      <c r="S78" s="557" t="s">
        <v>55</v>
      </c>
      <c r="T78" s="91"/>
      <c r="U78" s="270"/>
      <c r="V78" s="270"/>
      <c r="W78" s="270"/>
    </row>
    <row r="79" spans="1:28" s="272" customFormat="1" ht="12.75" hidden="1" customHeight="1" outlineLevel="1">
      <c r="B79" s="984"/>
      <c r="C79" s="969"/>
      <c r="D79" s="382" t="s">
        <v>149</v>
      </c>
      <c r="E79" s="383"/>
      <c r="F79" s="427">
        <f>ROUND(F81*(1+0.3),-1)</f>
        <v>110</v>
      </c>
      <c r="G79" s="452">
        <v>132</v>
      </c>
      <c r="H79" s="427">
        <f>ROUND(H81*(1+0.3),-1)</f>
        <v>160</v>
      </c>
      <c r="I79" s="452">
        <v>192</v>
      </c>
      <c r="J79" s="427">
        <f>ROUND(J81*(1+0.3),-1)</f>
        <v>210</v>
      </c>
      <c r="K79" s="452">
        <v>252</v>
      </c>
      <c r="L79" s="427">
        <v>240</v>
      </c>
      <c r="M79" s="452">
        <v>288</v>
      </c>
      <c r="N79" s="427">
        <f>ROUND(N81*(1+0.3),-1)</f>
        <v>270</v>
      </c>
      <c r="O79" s="452">
        <v>324</v>
      </c>
      <c r="P79" s="501">
        <f>ROUND(P81*(1+0.3),-1)</f>
        <v>80</v>
      </c>
      <c r="Q79" s="547" t="s">
        <v>55</v>
      </c>
      <c r="R79" s="501">
        <f>ROUND(R81*(1+0.3),-1)</f>
        <v>110</v>
      </c>
      <c r="S79" s="557" t="s">
        <v>55</v>
      </c>
      <c r="T79" s="91"/>
      <c r="U79" s="270"/>
      <c r="V79" s="270"/>
      <c r="W79" s="270"/>
    </row>
    <row r="80" spans="1:28" s="272" customFormat="1" ht="12.75" hidden="1" customHeight="1" outlineLevel="1">
      <c r="B80" s="984"/>
      <c r="C80" s="969"/>
      <c r="D80" s="380" t="s">
        <v>150</v>
      </c>
      <c r="E80" s="381"/>
      <c r="F80" s="429">
        <f>ROUND(F81*(1+0.3),-1)</f>
        <v>110</v>
      </c>
      <c r="G80" s="453">
        <v>132</v>
      </c>
      <c r="H80" s="429">
        <f>ROUND(H81*(1+0.3),-1)</f>
        <v>160</v>
      </c>
      <c r="I80" s="453">
        <v>192</v>
      </c>
      <c r="J80" s="429">
        <f>ROUND(J81*(1+0.3),-1)</f>
        <v>210</v>
      </c>
      <c r="K80" s="453">
        <v>252</v>
      </c>
      <c r="L80" s="429">
        <v>240</v>
      </c>
      <c r="M80" s="453">
        <v>288</v>
      </c>
      <c r="N80" s="429">
        <f>ROUND(N81*(1+0.3),-1)</f>
        <v>270</v>
      </c>
      <c r="O80" s="453">
        <v>324</v>
      </c>
      <c r="P80" s="502">
        <f>ROUND(P81*(1+0.3),-1)</f>
        <v>80</v>
      </c>
      <c r="Q80" s="543" t="s">
        <v>55</v>
      </c>
      <c r="R80" s="502">
        <f>ROUND(R81*(1+0.3),-1)</f>
        <v>110</v>
      </c>
      <c r="S80" s="553" t="s">
        <v>55</v>
      </c>
      <c r="T80" s="91"/>
      <c r="U80" s="270"/>
      <c r="V80" s="270"/>
      <c r="W80" s="270"/>
    </row>
    <row r="81" spans="1:28" s="87" customFormat="1" ht="36" customHeight="1" collapsed="1">
      <c r="A81" s="272"/>
      <c r="B81" s="984"/>
      <c r="C81" s="970"/>
      <c r="D81" s="993" t="str">
        <f>D76&amp;", "&amp;D77&amp;", "&amp;D78&amp;", "&amp;D79&amp;", "&amp;D80</f>
        <v>WP abcZdrowie, WP Fitness, WP Parenting, Medycyna24, Nerwica.com</v>
      </c>
      <c r="E81" s="994"/>
      <c r="F81" s="417">
        <v>83</v>
      </c>
      <c r="G81" s="448">
        <v>99</v>
      </c>
      <c r="H81" s="417">
        <v>120</v>
      </c>
      <c r="I81" s="448">
        <v>144</v>
      </c>
      <c r="J81" s="417">
        <v>165</v>
      </c>
      <c r="K81" s="448">
        <v>198</v>
      </c>
      <c r="L81" s="434" t="s">
        <v>55</v>
      </c>
      <c r="M81" s="448" t="s">
        <v>55</v>
      </c>
      <c r="N81" s="434">
        <v>210</v>
      </c>
      <c r="O81" s="448">
        <v>252</v>
      </c>
      <c r="P81" s="521">
        <v>60</v>
      </c>
      <c r="Q81" s="551" t="s">
        <v>55</v>
      </c>
      <c r="R81" s="525">
        <v>83</v>
      </c>
      <c r="S81" s="564" t="s">
        <v>55</v>
      </c>
      <c r="T81" s="92"/>
      <c r="U81" s="270"/>
      <c r="V81" s="270"/>
      <c r="W81" s="270"/>
      <c r="X81" s="272"/>
      <c r="Y81" s="272"/>
      <c r="Z81" s="272"/>
      <c r="AA81" s="272"/>
      <c r="AB81" s="272"/>
    </row>
    <row r="82" spans="1:28" s="272" customFormat="1" ht="12.75" hidden="1" customHeight="1" outlineLevel="1">
      <c r="B82" s="984"/>
      <c r="C82" s="968" t="str">
        <f>IF('Język - Language'!$B$30="Polski","WIDEO I AUDIO","VIDEO AND AUDIO")</f>
        <v>WIDEO I AUDIO</v>
      </c>
      <c r="D82" s="386" t="s">
        <v>133</v>
      </c>
      <c r="E82" s="387"/>
      <c r="F82" s="423">
        <f>ROUND(F85*(1+0.3),-1)</f>
        <v>60</v>
      </c>
      <c r="G82" s="449">
        <v>72</v>
      </c>
      <c r="H82" s="423">
        <f>ROUND(H85*(1+0.3),-1)</f>
        <v>90</v>
      </c>
      <c r="I82" s="449">
        <v>108</v>
      </c>
      <c r="J82" s="423">
        <f>ROUND(J85*(1+0.3),-1)</f>
        <v>120</v>
      </c>
      <c r="K82" s="449">
        <v>144</v>
      </c>
      <c r="L82" s="423">
        <v>140</v>
      </c>
      <c r="M82" s="449">
        <v>168</v>
      </c>
      <c r="N82" s="423" t="s">
        <v>55</v>
      </c>
      <c r="O82" s="424" t="s">
        <v>55</v>
      </c>
      <c r="P82" s="526"/>
      <c r="Q82" s="549" t="s">
        <v>55</v>
      </c>
      <c r="R82" s="536"/>
      <c r="S82" s="565" t="s">
        <v>55</v>
      </c>
      <c r="T82" s="92"/>
      <c r="U82" s="270"/>
      <c r="V82" s="270"/>
      <c r="W82" s="270"/>
    </row>
    <row r="83" spans="1:28" s="272" customFormat="1" ht="12.75" hidden="1" customHeight="1" outlineLevel="1">
      <c r="B83" s="984"/>
      <c r="C83" s="969"/>
      <c r="D83" s="388" t="s">
        <v>141</v>
      </c>
      <c r="E83" s="389"/>
      <c r="F83" s="436">
        <f>ROUND(F85*(1+0.3),-1)</f>
        <v>60</v>
      </c>
      <c r="G83" s="454">
        <v>72</v>
      </c>
      <c r="H83" s="436">
        <f>ROUND(H85*(1+0.3),-1)</f>
        <v>90</v>
      </c>
      <c r="I83" s="454">
        <v>108</v>
      </c>
      <c r="J83" s="436">
        <f>ROUND(J85*(1+0.3),-1)</f>
        <v>120</v>
      </c>
      <c r="K83" s="454">
        <v>144</v>
      </c>
      <c r="L83" s="436">
        <v>140</v>
      </c>
      <c r="M83" s="454">
        <v>168</v>
      </c>
      <c r="N83" s="436" t="s">
        <v>55</v>
      </c>
      <c r="O83" s="437" t="s">
        <v>55</v>
      </c>
      <c r="P83" s="527"/>
      <c r="Q83" s="550" t="s">
        <v>55</v>
      </c>
      <c r="R83" s="534"/>
      <c r="S83" s="566" t="s">
        <v>55</v>
      </c>
      <c r="T83" s="92"/>
      <c r="U83" s="270"/>
      <c r="V83" s="270"/>
      <c r="W83" s="270"/>
    </row>
    <row r="84" spans="1:28" s="272" customFormat="1" ht="12.75" hidden="1" customHeight="1" outlineLevel="1">
      <c r="B84" s="984"/>
      <c r="C84" s="969"/>
      <c r="D84" s="384" t="s">
        <v>143</v>
      </c>
      <c r="E84" s="385"/>
      <c r="F84" s="438">
        <f>ROUND(F85*(1+0.3),-1)</f>
        <v>60</v>
      </c>
      <c r="G84" s="450">
        <v>72</v>
      </c>
      <c r="H84" s="438">
        <f>ROUND(H85*(1+0.3),-1)</f>
        <v>90</v>
      </c>
      <c r="I84" s="450">
        <v>108</v>
      </c>
      <c r="J84" s="438">
        <f>ROUND(J85*(1+0.3),-1)</f>
        <v>120</v>
      </c>
      <c r="K84" s="450">
        <v>144</v>
      </c>
      <c r="L84" s="438">
        <v>140</v>
      </c>
      <c r="M84" s="450">
        <v>168</v>
      </c>
      <c r="N84" s="438" t="s">
        <v>55</v>
      </c>
      <c r="O84" s="439" t="s">
        <v>55</v>
      </c>
      <c r="P84" s="528"/>
      <c r="Q84" s="542" t="s">
        <v>55</v>
      </c>
      <c r="R84" s="529"/>
      <c r="S84" s="567" t="s">
        <v>55</v>
      </c>
      <c r="T84" s="92"/>
      <c r="U84" s="270"/>
      <c r="V84" s="270"/>
      <c r="W84" s="270"/>
    </row>
    <row r="85" spans="1:28" s="232" customFormat="1" ht="36" customHeight="1" collapsed="1">
      <c r="A85" s="272"/>
      <c r="B85" s="984"/>
      <c r="C85" s="970"/>
      <c r="D85" s="993" t="str">
        <f>D82&amp;", "&amp;D83&amp;", "&amp;D84</f>
        <v>WP Pilot, WP Wideo, OpenFM</v>
      </c>
      <c r="E85" s="994"/>
      <c r="F85" s="417">
        <v>45</v>
      </c>
      <c r="G85" s="445">
        <v>54</v>
      </c>
      <c r="H85" s="417">
        <v>68</v>
      </c>
      <c r="I85" s="445">
        <v>81</v>
      </c>
      <c r="J85" s="417">
        <v>90</v>
      </c>
      <c r="K85" s="445">
        <v>108</v>
      </c>
      <c r="L85" s="434" t="s">
        <v>55</v>
      </c>
      <c r="M85" s="445" t="s">
        <v>55</v>
      </c>
      <c r="N85" s="434" t="s">
        <v>55</v>
      </c>
      <c r="O85" s="435" t="s">
        <v>55</v>
      </c>
      <c r="P85" s="521">
        <v>34</v>
      </c>
      <c r="Q85" s="542" t="s">
        <v>55</v>
      </c>
      <c r="R85" s="525">
        <v>45</v>
      </c>
      <c r="S85" s="567" t="s">
        <v>55</v>
      </c>
      <c r="T85" s="92"/>
      <c r="U85" s="270"/>
      <c r="V85" s="270"/>
      <c r="W85" s="270"/>
      <c r="X85" s="272"/>
      <c r="Y85" s="272"/>
      <c r="Z85" s="272"/>
      <c r="AA85" s="272"/>
      <c r="AB85" s="272"/>
    </row>
    <row r="86" spans="1:28" s="272" customFormat="1" ht="12.75" hidden="1" customHeight="1" outlineLevel="1">
      <c r="B86" s="984"/>
      <c r="C86" s="966" t="str">
        <f>IF('Język - Language'!$B$30="Polski","PAKIET SPECJALNY 'KOBIETA'","DEDICATED PACKAGE 'WOMAN'")</f>
        <v>PAKIET SPECJALNY 'KOBIETA'</v>
      </c>
      <c r="D86" s="386" t="s">
        <v>144</v>
      </c>
      <c r="E86" s="387"/>
      <c r="F86" s="423">
        <f>ROUND(F97*(1+0.3),-1)</f>
        <v>60</v>
      </c>
      <c r="G86" s="449">
        <v>72</v>
      </c>
      <c r="H86" s="423">
        <f>ROUND(H97*(1+0.3),-1)</f>
        <v>90</v>
      </c>
      <c r="I86" s="449">
        <v>108</v>
      </c>
      <c r="J86" s="423">
        <f>ROUND(J97*(1+0.3),-1)</f>
        <v>120</v>
      </c>
      <c r="K86" s="449">
        <v>144</v>
      </c>
      <c r="L86" s="489">
        <v>140</v>
      </c>
      <c r="M86" s="492">
        <v>168</v>
      </c>
      <c r="N86" s="423">
        <f>ROUND(N97*(1+0.3),-1)</f>
        <v>160</v>
      </c>
      <c r="O86" s="449">
        <v>192</v>
      </c>
      <c r="P86" s="489">
        <f>ROUND(P97*(1+0.3),-1)</f>
        <v>40</v>
      </c>
      <c r="Q86" s="546" t="s">
        <v>55</v>
      </c>
      <c r="R86" s="489">
        <f>ROUND(R97*(1+0.3),-1)</f>
        <v>60</v>
      </c>
      <c r="S86" s="568" t="s">
        <v>55</v>
      </c>
      <c r="T86" s="92"/>
      <c r="U86" s="270"/>
      <c r="V86" s="270"/>
      <c r="W86" s="270"/>
    </row>
    <row r="87" spans="1:28" s="272" customFormat="1" ht="12.75" hidden="1" customHeight="1" outlineLevel="1">
      <c r="B87" s="984"/>
      <c r="C87" s="922"/>
      <c r="D87" s="388" t="s">
        <v>41</v>
      </c>
      <c r="E87" s="389"/>
      <c r="F87" s="436">
        <f>ROUND(F97*(1+0.3),-1)</f>
        <v>60</v>
      </c>
      <c r="G87" s="454">
        <v>72</v>
      </c>
      <c r="H87" s="436">
        <f>ROUND(H97*(1+0.3),-1)</f>
        <v>90</v>
      </c>
      <c r="I87" s="454">
        <v>108</v>
      </c>
      <c r="J87" s="436">
        <f>ROUND(J97*(1+0.3),-1)</f>
        <v>120</v>
      </c>
      <c r="K87" s="454">
        <v>144</v>
      </c>
      <c r="L87" s="490">
        <v>140</v>
      </c>
      <c r="M87" s="494">
        <v>168</v>
      </c>
      <c r="N87" s="436">
        <f>ROUND(N97*(1+0.3),-1)</f>
        <v>160</v>
      </c>
      <c r="O87" s="454">
        <v>192</v>
      </c>
      <c r="P87" s="490">
        <f>ROUND(P97*(1+0.3),-1)</f>
        <v>40</v>
      </c>
      <c r="Q87" s="547" t="s">
        <v>55</v>
      </c>
      <c r="R87" s="490">
        <f>ROUND(R97*(1+0.3),-1)</f>
        <v>60</v>
      </c>
      <c r="S87" s="569" t="s">
        <v>55</v>
      </c>
      <c r="T87" s="92"/>
      <c r="U87" s="270"/>
      <c r="V87" s="270"/>
      <c r="W87" s="270"/>
    </row>
    <row r="88" spans="1:28" s="272" customFormat="1" ht="12.75" hidden="1" customHeight="1" outlineLevel="1">
      <c r="B88" s="984"/>
      <c r="C88" s="922"/>
      <c r="D88" s="388" t="s">
        <v>52</v>
      </c>
      <c r="E88" s="389"/>
      <c r="F88" s="436">
        <f>ROUND(F57*(1+1),-1)</f>
        <v>60</v>
      </c>
      <c r="G88" s="454">
        <v>72</v>
      </c>
      <c r="H88" s="436">
        <f>ROUND(H57*(1+1),-1)</f>
        <v>90</v>
      </c>
      <c r="I88" s="454">
        <v>108</v>
      </c>
      <c r="J88" s="436">
        <f>ROUND(J57*(1+1),-1)</f>
        <v>120</v>
      </c>
      <c r="K88" s="454">
        <v>144</v>
      </c>
      <c r="L88" s="488">
        <v>140</v>
      </c>
      <c r="M88" s="494">
        <v>168</v>
      </c>
      <c r="N88" s="416">
        <f>ROUND(N57*(1+1),-1)</f>
        <v>160</v>
      </c>
      <c r="O88" s="454">
        <v>192</v>
      </c>
      <c r="P88" s="488">
        <f>ROUND(P57*(1+1),-1)</f>
        <v>50</v>
      </c>
      <c r="Q88" s="547" t="s">
        <v>55</v>
      </c>
      <c r="R88" s="488">
        <f>ROUND(R57*(1+1),-1)</f>
        <v>60</v>
      </c>
      <c r="S88" s="569" t="s">
        <v>55</v>
      </c>
      <c r="T88" s="92"/>
      <c r="U88" s="270"/>
      <c r="V88" s="270"/>
      <c r="W88" s="270"/>
    </row>
    <row r="89" spans="1:28" s="272" customFormat="1" ht="12.75" hidden="1" customHeight="1" outlineLevel="1">
      <c r="B89" s="984"/>
      <c r="C89" s="922"/>
      <c r="D89" s="388" t="s">
        <v>221</v>
      </c>
      <c r="E89" s="389"/>
      <c r="F89" s="490">
        <f>ROUND(F68*(1+0.3),-1)</f>
        <v>60</v>
      </c>
      <c r="G89" s="494">
        <v>72</v>
      </c>
      <c r="H89" s="490">
        <f>ROUND(H68*(1+0.3),-1)</f>
        <v>90</v>
      </c>
      <c r="I89" s="494">
        <v>108</v>
      </c>
      <c r="J89" s="490">
        <f>ROUND(J68*(1+0.3),-1)</f>
        <v>120</v>
      </c>
      <c r="K89" s="494">
        <v>144</v>
      </c>
      <c r="L89" s="488">
        <v>140</v>
      </c>
      <c r="M89" s="494">
        <v>168</v>
      </c>
      <c r="N89" s="488">
        <f>ROUND(N68*(1+0.3),-1)</f>
        <v>160</v>
      </c>
      <c r="O89" s="494">
        <v>192</v>
      </c>
      <c r="P89" s="488">
        <f>ROUND(P68*(1+0.3),-1)</f>
        <v>40</v>
      </c>
      <c r="Q89" s="547" t="s">
        <v>55</v>
      </c>
      <c r="R89" s="488">
        <f>ROUND(R68*(1+0.3),-1)</f>
        <v>60</v>
      </c>
      <c r="S89" s="569" t="s">
        <v>55</v>
      </c>
      <c r="T89" s="92"/>
      <c r="U89" s="270"/>
      <c r="V89" s="270"/>
      <c r="W89" s="270"/>
    </row>
    <row r="90" spans="1:28" s="272" customFormat="1" ht="12.75" hidden="1" customHeight="1" outlineLevel="1">
      <c r="B90" s="984"/>
      <c r="C90" s="922"/>
      <c r="D90" s="388" t="s">
        <v>62</v>
      </c>
      <c r="E90" s="389"/>
      <c r="F90" s="436">
        <f>ROUND(F57*(1+0.3),-1)</f>
        <v>40</v>
      </c>
      <c r="G90" s="454">
        <v>48</v>
      </c>
      <c r="H90" s="436">
        <f>ROUND(H57*(1+0.3),-1)</f>
        <v>60</v>
      </c>
      <c r="I90" s="454">
        <v>72</v>
      </c>
      <c r="J90" s="436">
        <f>ROUND(J57*(1+0.3),-1)</f>
        <v>80</v>
      </c>
      <c r="K90" s="454">
        <v>96</v>
      </c>
      <c r="L90" s="490">
        <v>90</v>
      </c>
      <c r="M90" s="494">
        <v>108</v>
      </c>
      <c r="N90" s="436">
        <f>ROUND(N57*(1+0.3),-1)</f>
        <v>100</v>
      </c>
      <c r="O90" s="454">
        <v>120</v>
      </c>
      <c r="P90" s="490">
        <f>ROUND(P57*(1+0.3),-1)</f>
        <v>30</v>
      </c>
      <c r="Q90" s="547" t="s">
        <v>55</v>
      </c>
      <c r="R90" s="490">
        <f>ROUND(R57*(1+0.3),-1)</f>
        <v>40</v>
      </c>
      <c r="S90" s="569" t="s">
        <v>55</v>
      </c>
      <c r="T90" s="92"/>
      <c r="U90" s="270"/>
      <c r="V90" s="270"/>
      <c r="W90" s="270"/>
    </row>
    <row r="91" spans="1:28" s="272" customFormat="1" ht="12.75" hidden="1" customHeight="1" outlineLevel="1">
      <c r="B91" s="984"/>
      <c r="C91" s="922"/>
      <c r="D91" s="388" t="s">
        <v>43</v>
      </c>
      <c r="E91" s="389"/>
      <c r="F91" s="436">
        <f>ROUND(F68*(1+0.3),-1)</f>
        <v>60</v>
      </c>
      <c r="G91" s="454">
        <v>72</v>
      </c>
      <c r="H91" s="436">
        <f>ROUND(H68*(1+0.3),-1)</f>
        <v>90</v>
      </c>
      <c r="I91" s="454">
        <v>108</v>
      </c>
      <c r="J91" s="436">
        <f>ROUND(J68*(1+0.3),-1)</f>
        <v>120</v>
      </c>
      <c r="K91" s="454">
        <v>144</v>
      </c>
      <c r="L91" s="490">
        <v>140</v>
      </c>
      <c r="M91" s="494">
        <v>168</v>
      </c>
      <c r="N91" s="436">
        <f>ROUND(N68*(1+0.3),-1)</f>
        <v>160</v>
      </c>
      <c r="O91" s="454">
        <v>192</v>
      </c>
      <c r="P91" s="490">
        <f>ROUND(P68*(1+0.3),-1)</f>
        <v>40</v>
      </c>
      <c r="Q91" s="547" t="s">
        <v>55</v>
      </c>
      <c r="R91" s="490">
        <f>ROUND(R68*(1+0.3),-1)</f>
        <v>60</v>
      </c>
      <c r="S91" s="569" t="s">
        <v>55</v>
      </c>
      <c r="T91" s="92"/>
      <c r="U91" s="270"/>
      <c r="V91" s="270"/>
      <c r="W91" s="270"/>
    </row>
    <row r="92" spans="1:28" s="272" customFormat="1" ht="12.75" hidden="1" customHeight="1" outlineLevel="1">
      <c r="B92" s="984"/>
      <c r="C92" s="922"/>
      <c r="D92" s="388" t="s">
        <v>146</v>
      </c>
      <c r="E92" s="389"/>
      <c r="F92" s="436">
        <f>ROUND(F81*(1+0.3),-1)</f>
        <v>110</v>
      </c>
      <c r="G92" s="454">
        <v>132</v>
      </c>
      <c r="H92" s="436">
        <f>ROUND(H81*(1+0.3),-1)</f>
        <v>160</v>
      </c>
      <c r="I92" s="454">
        <v>192</v>
      </c>
      <c r="J92" s="436">
        <f>ROUND(J81*(1+0.3),-1)</f>
        <v>210</v>
      </c>
      <c r="K92" s="454">
        <v>252</v>
      </c>
      <c r="L92" s="490">
        <v>240</v>
      </c>
      <c r="M92" s="494">
        <v>288</v>
      </c>
      <c r="N92" s="436">
        <f>ROUND(N81*(1+0.3),-1)</f>
        <v>270</v>
      </c>
      <c r="O92" s="454">
        <v>324</v>
      </c>
      <c r="P92" s="490">
        <f>ROUND(P81*(1+0.3),-1)</f>
        <v>80</v>
      </c>
      <c r="Q92" s="547" t="s">
        <v>55</v>
      </c>
      <c r="R92" s="490">
        <f>ROUND(R81*(1+0.3),-1)</f>
        <v>110</v>
      </c>
      <c r="S92" s="569" t="s">
        <v>55</v>
      </c>
      <c r="T92" s="92"/>
      <c r="U92" s="270"/>
      <c r="V92" s="270"/>
      <c r="W92" s="270"/>
    </row>
    <row r="93" spans="1:28" s="272" customFormat="1" ht="12.75" hidden="1" customHeight="1" outlineLevel="1">
      <c r="B93" s="984"/>
      <c r="C93" s="922"/>
      <c r="D93" s="388" t="s">
        <v>34</v>
      </c>
      <c r="E93" s="389"/>
      <c r="F93" s="436">
        <f>ROUND(F81*(1+0.3),-1)</f>
        <v>110</v>
      </c>
      <c r="G93" s="454">
        <v>132</v>
      </c>
      <c r="H93" s="436">
        <f>ROUND(H81*(1+0.3),-1)</f>
        <v>160</v>
      </c>
      <c r="I93" s="454">
        <v>192</v>
      </c>
      <c r="J93" s="436">
        <f>ROUND(J81*(1+0.3),-1)</f>
        <v>210</v>
      </c>
      <c r="K93" s="454">
        <v>252</v>
      </c>
      <c r="L93" s="490">
        <v>240</v>
      </c>
      <c r="M93" s="494">
        <v>288</v>
      </c>
      <c r="N93" s="436">
        <f>ROUND(N81*(1+0.3),-1)</f>
        <v>270</v>
      </c>
      <c r="O93" s="454">
        <v>324</v>
      </c>
      <c r="P93" s="490">
        <f>ROUND(P81*(1+0.3),-1)</f>
        <v>80</v>
      </c>
      <c r="Q93" s="547" t="s">
        <v>55</v>
      </c>
      <c r="R93" s="490">
        <f>ROUND(R81*(1+0.3),-1)</f>
        <v>110</v>
      </c>
      <c r="S93" s="569" t="s">
        <v>55</v>
      </c>
      <c r="T93" s="92"/>
      <c r="U93" s="270"/>
      <c r="V93" s="270"/>
      <c r="W93" s="270"/>
    </row>
    <row r="94" spans="1:28" s="272" customFormat="1" ht="12.75" hidden="1" customHeight="1" outlineLevel="1">
      <c r="B94" s="984"/>
      <c r="C94" s="922"/>
      <c r="D94" s="388" t="s">
        <v>35</v>
      </c>
      <c r="E94" s="389"/>
      <c r="F94" s="436">
        <f>ROUND(F81*(1+0.3),-1)</f>
        <v>110</v>
      </c>
      <c r="G94" s="454">
        <v>132</v>
      </c>
      <c r="H94" s="436">
        <f>ROUND(H81*(1+0.3),-1)</f>
        <v>160</v>
      </c>
      <c r="I94" s="454">
        <v>192</v>
      </c>
      <c r="J94" s="436">
        <f>ROUND(J81*(1+0.3),-1)</f>
        <v>210</v>
      </c>
      <c r="K94" s="454">
        <v>252</v>
      </c>
      <c r="L94" s="490">
        <v>240</v>
      </c>
      <c r="M94" s="494">
        <v>288</v>
      </c>
      <c r="N94" s="436">
        <f>ROUND(N81*(1+0.3),-1)</f>
        <v>270</v>
      </c>
      <c r="O94" s="454">
        <v>324</v>
      </c>
      <c r="P94" s="490">
        <f>ROUND(P81*(1+0.3),-1)</f>
        <v>80</v>
      </c>
      <c r="Q94" s="547" t="s">
        <v>55</v>
      </c>
      <c r="R94" s="490">
        <f>ROUND(R81*(1+0.3),-1)</f>
        <v>110</v>
      </c>
      <c r="S94" s="569" t="s">
        <v>55</v>
      </c>
      <c r="T94" s="92"/>
      <c r="U94" s="270"/>
      <c r="V94" s="270"/>
      <c r="W94" s="270"/>
    </row>
    <row r="95" spans="1:28" s="272" customFormat="1" ht="12.75" hidden="1" customHeight="1" outlineLevel="1">
      <c r="B95" s="984"/>
      <c r="C95" s="922"/>
      <c r="D95" s="388" t="s">
        <v>140</v>
      </c>
      <c r="E95" s="389"/>
      <c r="F95" s="436">
        <f>ROUND(F57*(1+0.3),-1)</f>
        <v>40</v>
      </c>
      <c r="G95" s="454">
        <v>48</v>
      </c>
      <c r="H95" s="436">
        <f>ROUND(H57*(1+0.3),-1)</f>
        <v>60</v>
      </c>
      <c r="I95" s="454">
        <v>72</v>
      </c>
      <c r="J95" s="436">
        <f>ROUND(J57*(1+0.3),-1)</f>
        <v>80</v>
      </c>
      <c r="K95" s="454">
        <v>96</v>
      </c>
      <c r="L95" s="490">
        <v>90</v>
      </c>
      <c r="M95" s="494">
        <v>108</v>
      </c>
      <c r="N95" s="436">
        <f>ROUND(N57*(1+0.3),-1)</f>
        <v>100</v>
      </c>
      <c r="O95" s="454">
        <v>120</v>
      </c>
      <c r="P95" s="490">
        <f>ROUND(P57*(1+0.3),-1)</f>
        <v>30</v>
      </c>
      <c r="Q95" s="547" t="s">
        <v>55</v>
      </c>
      <c r="R95" s="490">
        <f>ROUND(R57*(1+0.3),-1)</f>
        <v>40</v>
      </c>
      <c r="S95" s="569" t="s">
        <v>55</v>
      </c>
      <c r="T95" s="92"/>
      <c r="U95" s="270"/>
      <c r="V95" s="270"/>
      <c r="W95" s="270"/>
    </row>
    <row r="96" spans="1:28" s="272" customFormat="1" ht="12.75" hidden="1" customHeight="1" outlineLevel="1">
      <c r="B96" s="984"/>
      <c r="C96" s="922"/>
      <c r="D96" s="384" t="s">
        <v>42</v>
      </c>
      <c r="E96" s="385"/>
      <c r="F96" s="438">
        <f>ROUND(F57*(1+0.3),-1)</f>
        <v>40</v>
      </c>
      <c r="G96" s="450">
        <v>48</v>
      </c>
      <c r="H96" s="438">
        <f>ROUND(H57*(1+0.3),-1)</f>
        <v>60</v>
      </c>
      <c r="I96" s="450">
        <v>72</v>
      </c>
      <c r="J96" s="438">
        <f>ROUND(J57*(1+0.3),-1)</f>
        <v>80</v>
      </c>
      <c r="K96" s="450">
        <v>96</v>
      </c>
      <c r="L96" s="491">
        <v>90</v>
      </c>
      <c r="M96" s="493">
        <v>108</v>
      </c>
      <c r="N96" s="438">
        <f>ROUND(N57*(1+0.3),-1)</f>
        <v>100</v>
      </c>
      <c r="O96" s="450">
        <v>120</v>
      </c>
      <c r="P96" s="491">
        <f>ROUND(P57*(1+0.3),-1)</f>
        <v>30</v>
      </c>
      <c r="Q96" s="548" t="s">
        <v>55</v>
      </c>
      <c r="R96" s="491">
        <f>ROUND(R57*(1+0.3),-1)</f>
        <v>40</v>
      </c>
      <c r="S96" s="570" t="s">
        <v>55</v>
      </c>
      <c r="T96" s="92"/>
      <c r="U96" s="270"/>
      <c r="V96" s="270"/>
      <c r="W96" s="270"/>
    </row>
    <row r="97" spans="1:28" s="272" customFormat="1" ht="42" customHeight="1" collapsed="1">
      <c r="B97" s="984"/>
      <c r="C97" s="967"/>
      <c r="D97" s="731" t="str">
        <f>D86&amp;", "&amp;D87&amp;", "&amp;D88&amp;", "&amp;D89&amp;", "&amp;D90&amp;", "&amp;D91&amp;", "&amp;D92&amp;", "&amp;D93&amp;", "&amp;D94&amp;", "&amp;D95&amp;", "&amp;D96</f>
        <v>Kafeteria.pl, WP Kobieta, Pudelek, WP Dom, WP Gwiazdy, WP Kuchnia, WP Fitness, WP abcZdrowie, WP Parenting, WP Teleshow, WP Książki</v>
      </c>
      <c r="E97" s="732"/>
      <c r="F97" s="432">
        <v>45</v>
      </c>
      <c r="G97" s="447">
        <v>54</v>
      </c>
      <c r="H97" s="432">
        <v>68</v>
      </c>
      <c r="I97" s="447">
        <v>81</v>
      </c>
      <c r="J97" s="432">
        <v>90</v>
      </c>
      <c r="K97" s="447">
        <v>108</v>
      </c>
      <c r="L97" s="426" t="s">
        <v>55</v>
      </c>
      <c r="M97" s="446" t="s">
        <v>55</v>
      </c>
      <c r="N97" s="426">
        <v>120</v>
      </c>
      <c r="O97" s="446">
        <v>144</v>
      </c>
      <c r="P97" s="524">
        <v>34</v>
      </c>
      <c r="Q97" s="551" t="s">
        <v>55</v>
      </c>
      <c r="R97" s="525">
        <v>45</v>
      </c>
      <c r="S97" s="564" t="s">
        <v>55</v>
      </c>
      <c r="T97" s="92"/>
      <c r="U97" s="270"/>
      <c r="V97" s="270"/>
      <c r="W97" s="270"/>
    </row>
    <row r="98" spans="1:28" s="272" customFormat="1" ht="12.75" hidden="1" customHeight="1" outlineLevel="1">
      <c r="B98" s="984"/>
      <c r="C98" s="966" t="str">
        <f>IF('Język - Language'!$B$30="Polski","PAKIET SPECJALNY 'MĘŻCZYZNA'","DEDICATED PACKAGE 'MAN'")</f>
        <v>PAKIET SPECJALNY 'MĘŻCZYZNA'</v>
      </c>
      <c r="D98" s="378" t="s">
        <v>27</v>
      </c>
      <c r="E98" s="379"/>
      <c r="F98" s="425">
        <f>ROUND(F42*(1+0.3),-1)</f>
        <v>70</v>
      </c>
      <c r="G98" s="451">
        <v>84</v>
      </c>
      <c r="H98" s="425">
        <f>ROUND(H42*(1+0.3),-1)</f>
        <v>100</v>
      </c>
      <c r="I98" s="451">
        <v>120</v>
      </c>
      <c r="J98" s="425">
        <f>ROUND(J42*(1+0.3),-1)</f>
        <v>140</v>
      </c>
      <c r="K98" s="451">
        <v>168</v>
      </c>
      <c r="L98" s="500">
        <v>160</v>
      </c>
      <c r="M98" s="503">
        <v>192</v>
      </c>
      <c r="N98" s="425">
        <f>ROUND(N42*(1+0.3),-1)</f>
        <v>190</v>
      </c>
      <c r="O98" s="451">
        <v>228</v>
      </c>
      <c r="P98" s="500">
        <f>ROUND(P42*(1+0.3),-1)</f>
        <v>50</v>
      </c>
      <c r="Q98" s="546" t="s">
        <v>55</v>
      </c>
      <c r="R98" s="500">
        <f>ROUND(R42*(1+0.3),-1)</f>
        <v>70</v>
      </c>
      <c r="S98" s="568" t="s">
        <v>55</v>
      </c>
      <c r="T98" s="92"/>
      <c r="U98" s="270"/>
      <c r="V98" s="270"/>
      <c r="W98" s="270"/>
    </row>
    <row r="99" spans="1:28" s="272" customFormat="1" ht="12.75" hidden="1" customHeight="1" outlineLevel="1">
      <c r="B99" s="984"/>
      <c r="C99" s="922"/>
      <c r="D99" s="382" t="s">
        <v>44</v>
      </c>
      <c r="E99" s="383"/>
      <c r="F99" s="427">
        <f>ROUND(F68*(1+0.3),-1)</f>
        <v>60</v>
      </c>
      <c r="G99" s="452">
        <v>72</v>
      </c>
      <c r="H99" s="427">
        <f>ROUND(H68*(1+0.3),-1)</f>
        <v>90</v>
      </c>
      <c r="I99" s="452">
        <v>108</v>
      </c>
      <c r="J99" s="427">
        <f>ROUND(J68*(1+0.3),-1)</f>
        <v>120</v>
      </c>
      <c r="K99" s="452">
        <v>144</v>
      </c>
      <c r="L99" s="501">
        <v>140</v>
      </c>
      <c r="M99" s="504">
        <v>168</v>
      </c>
      <c r="N99" s="427">
        <f>ROUND(N68*(1+0.3),-1)</f>
        <v>160</v>
      </c>
      <c r="O99" s="452">
        <v>192</v>
      </c>
      <c r="P99" s="501">
        <f>ROUND(P68*(1+0.3),-1)</f>
        <v>40</v>
      </c>
      <c r="Q99" s="547" t="s">
        <v>55</v>
      </c>
      <c r="R99" s="501">
        <f>ROUND(R68*(1+0.3),-1)</f>
        <v>60</v>
      </c>
      <c r="S99" s="569" t="s">
        <v>55</v>
      </c>
      <c r="T99" s="92"/>
      <c r="U99" s="270"/>
      <c r="V99" s="270"/>
      <c r="W99" s="270"/>
    </row>
    <row r="100" spans="1:28" s="272" customFormat="1" ht="12.75" hidden="1" customHeight="1" outlineLevel="1">
      <c r="B100" s="984"/>
      <c r="C100" s="922"/>
      <c r="D100" s="382" t="s">
        <v>221</v>
      </c>
      <c r="E100" s="383"/>
      <c r="F100" s="501">
        <f>ROUND(F68*(1+0.3),-1)</f>
        <v>60</v>
      </c>
      <c r="G100" s="504">
        <v>72</v>
      </c>
      <c r="H100" s="501">
        <f>ROUND(H68*(1+0.3),-1)</f>
        <v>90</v>
      </c>
      <c r="I100" s="504">
        <v>108</v>
      </c>
      <c r="J100" s="501">
        <f>ROUND(J68*(1+0.3),-1)</f>
        <v>120</v>
      </c>
      <c r="K100" s="504">
        <v>144</v>
      </c>
      <c r="L100" s="501">
        <v>140</v>
      </c>
      <c r="M100" s="504">
        <v>168</v>
      </c>
      <c r="N100" s="501">
        <f>ROUND(N68*(1+0.3),-1)</f>
        <v>160</v>
      </c>
      <c r="O100" s="504">
        <v>192</v>
      </c>
      <c r="P100" s="501">
        <f>ROUND(P68*(1+0.3),-1)</f>
        <v>40</v>
      </c>
      <c r="Q100" s="547" t="s">
        <v>55</v>
      </c>
      <c r="R100" s="501">
        <f>ROUND(R68*(1+0.3),-1)</f>
        <v>60</v>
      </c>
      <c r="S100" s="569" t="s">
        <v>55</v>
      </c>
      <c r="T100" s="92"/>
      <c r="U100" s="270"/>
      <c r="V100" s="270"/>
      <c r="W100" s="270"/>
    </row>
    <row r="101" spans="1:28" s="272" customFormat="1" ht="12.75" hidden="1" customHeight="1" outlineLevel="1">
      <c r="B101" s="984"/>
      <c r="C101" s="922"/>
      <c r="D101" s="382" t="s">
        <v>37</v>
      </c>
      <c r="E101" s="383"/>
      <c r="F101" s="427">
        <f>ROUND(F45*(1+0.3),-1)</f>
        <v>60</v>
      </c>
      <c r="G101" s="452">
        <v>72</v>
      </c>
      <c r="H101" s="427">
        <f>ROUND(H45*(1+0.3),-1)</f>
        <v>90</v>
      </c>
      <c r="I101" s="452">
        <v>108</v>
      </c>
      <c r="J101" s="427">
        <f>ROUND(J45*(1+0.3),-1)</f>
        <v>120</v>
      </c>
      <c r="K101" s="452">
        <v>144</v>
      </c>
      <c r="L101" s="501">
        <v>140</v>
      </c>
      <c r="M101" s="504">
        <v>168</v>
      </c>
      <c r="N101" s="427">
        <f>ROUND(N45*(1+0.3),-1)</f>
        <v>160</v>
      </c>
      <c r="O101" s="452">
        <v>192</v>
      </c>
      <c r="P101" s="501">
        <f>ROUND(P45*(1+0.3),-1)</f>
        <v>40</v>
      </c>
      <c r="Q101" s="547" t="s">
        <v>55</v>
      </c>
      <c r="R101" s="501">
        <f>ROUND(R45*(1+0.3),-1)</f>
        <v>60</v>
      </c>
      <c r="S101" s="569" t="s">
        <v>55</v>
      </c>
      <c r="T101" s="92"/>
      <c r="U101" s="270"/>
      <c r="V101" s="270"/>
      <c r="W101" s="270"/>
    </row>
    <row r="102" spans="1:28" s="272" customFormat="1" ht="12.75" hidden="1" customHeight="1" outlineLevel="1">
      <c r="B102" s="984"/>
      <c r="C102" s="922"/>
      <c r="D102" s="382" t="s">
        <v>145</v>
      </c>
      <c r="E102" s="383"/>
      <c r="F102" s="427">
        <f>ROUND(F75*(1+0.3),-1)</f>
        <v>60</v>
      </c>
      <c r="G102" s="452">
        <v>72</v>
      </c>
      <c r="H102" s="427">
        <f>ROUND(H75*(1+0.3),-1)</f>
        <v>90</v>
      </c>
      <c r="I102" s="452">
        <v>108</v>
      </c>
      <c r="J102" s="427">
        <f>ROUND(J75*(1+0.3),-1)</f>
        <v>120</v>
      </c>
      <c r="K102" s="452">
        <v>144</v>
      </c>
      <c r="L102" s="501">
        <v>140</v>
      </c>
      <c r="M102" s="504">
        <v>168</v>
      </c>
      <c r="N102" s="427">
        <f>ROUND(N75*(1+0.3),-1)</f>
        <v>160</v>
      </c>
      <c r="O102" s="452">
        <v>192</v>
      </c>
      <c r="P102" s="501">
        <f>ROUND(P75*(1+0.3),-1)</f>
        <v>40</v>
      </c>
      <c r="Q102" s="547" t="s">
        <v>55</v>
      </c>
      <c r="R102" s="501">
        <f>ROUND(R75*(1+0.3),-1)</f>
        <v>60</v>
      </c>
      <c r="S102" s="569" t="s">
        <v>55</v>
      </c>
      <c r="T102" s="92"/>
      <c r="U102" s="270"/>
      <c r="V102" s="270"/>
      <c r="W102" s="270"/>
    </row>
    <row r="103" spans="1:28" s="272" customFormat="1" ht="12.75" hidden="1" customHeight="1" outlineLevel="1">
      <c r="B103" s="984"/>
      <c r="C103" s="922"/>
      <c r="D103" s="382" t="s">
        <v>30</v>
      </c>
      <c r="E103" s="383"/>
      <c r="F103" s="427">
        <f>ROUND(F45*(1+0.3),-1)</f>
        <v>60</v>
      </c>
      <c r="G103" s="452">
        <v>72</v>
      </c>
      <c r="H103" s="427">
        <f>ROUND(H45*(1+0.3),-1)</f>
        <v>90</v>
      </c>
      <c r="I103" s="452">
        <v>108</v>
      </c>
      <c r="J103" s="427">
        <f>ROUND(J45*(1+0.3),-1)</f>
        <v>120</v>
      </c>
      <c r="K103" s="452">
        <v>144</v>
      </c>
      <c r="L103" s="501">
        <v>140</v>
      </c>
      <c r="M103" s="504">
        <v>168</v>
      </c>
      <c r="N103" s="427">
        <f>ROUND(N45*(1+0.3),-1)</f>
        <v>160</v>
      </c>
      <c r="O103" s="452">
        <v>192</v>
      </c>
      <c r="P103" s="501">
        <f>ROUND(P45*(1+0.3),-1)</f>
        <v>40</v>
      </c>
      <c r="Q103" s="547" t="s">
        <v>55</v>
      </c>
      <c r="R103" s="501">
        <f>ROUND(R45*(1+0.3),-1)</f>
        <v>60</v>
      </c>
      <c r="S103" s="569" t="s">
        <v>55</v>
      </c>
      <c r="T103" s="92"/>
      <c r="U103" s="270"/>
      <c r="V103" s="270"/>
      <c r="W103" s="270"/>
    </row>
    <row r="104" spans="1:28" s="272" customFormat="1" ht="12.75" hidden="1" customHeight="1" outlineLevel="1">
      <c r="B104" s="984"/>
      <c r="C104" s="922"/>
      <c r="D104" s="382" t="s">
        <v>33</v>
      </c>
      <c r="E104" s="383"/>
      <c r="F104" s="427">
        <f>ROUND(F75*(1+0.3),-1)</f>
        <v>60</v>
      </c>
      <c r="G104" s="452">
        <v>72</v>
      </c>
      <c r="H104" s="427">
        <f>ROUND(H75*(1+0.3),-1)</f>
        <v>90</v>
      </c>
      <c r="I104" s="452">
        <v>108</v>
      </c>
      <c r="J104" s="427">
        <f>ROUND(J75*(1+0.3),-1)</f>
        <v>120</v>
      </c>
      <c r="K104" s="452">
        <v>144</v>
      </c>
      <c r="L104" s="501">
        <v>140</v>
      </c>
      <c r="M104" s="504">
        <v>168</v>
      </c>
      <c r="N104" s="427">
        <f>ROUND(N75*(1+0.3),-1)</f>
        <v>160</v>
      </c>
      <c r="O104" s="452">
        <v>192</v>
      </c>
      <c r="P104" s="501">
        <f>ROUND(P75*(1+0.3),-1)</f>
        <v>40</v>
      </c>
      <c r="Q104" s="547" t="s">
        <v>55</v>
      </c>
      <c r="R104" s="501">
        <f>ROUND(R75*(1+0.3),-1)</f>
        <v>60</v>
      </c>
      <c r="S104" s="569" t="s">
        <v>55</v>
      </c>
      <c r="T104" s="92"/>
      <c r="U104" s="270"/>
      <c r="V104" s="270"/>
      <c r="W104" s="270"/>
    </row>
    <row r="105" spans="1:28" s="272" customFormat="1" ht="12.75" hidden="1" customHeight="1" outlineLevel="1">
      <c r="B105" s="984"/>
      <c r="C105" s="922"/>
      <c r="D105" s="382" t="s">
        <v>31</v>
      </c>
      <c r="E105" s="383"/>
      <c r="F105" s="427">
        <f>ROUND(F75*(1+0.3),-1)</f>
        <v>60</v>
      </c>
      <c r="G105" s="452">
        <v>72</v>
      </c>
      <c r="H105" s="427">
        <f>ROUND(H75*(1+0.3),-1)</f>
        <v>90</v>
      </c>
      <c r="I105" s="452">
        <v>108</v>
      </c>
      <c r="J105" s="427">
        <f>ROUND(J75*(1+0.3),-1)</f>
        <v>120</v>
      </c>
      <c r="K105" s="452">
        <v>144</v>
      </c>
      <c r="L105" s="501">
        <v>140</v>
      </c>
      <c r="M105" s="504">
        <v>168</v>
      </c>
      <c r="N105" s="427">
        <f>ROUND(N75*(1+0.3),-1)</f>
        <v>160</v>
      </c>
      <c r="O105" s="452">
        <v>192</v>
      </c>
      <c r="P105" s="501">
        <f>ROUND(P75*(1+0.3),-1)</f>
        <v>40</v>
      </c>
      <c r="Q105" s="547" t="s">
        <v>55</v>
      </c>
      <c r="R105" s="501">
        <f>ROUND(R75*(1+0.3),-1)</f>
        <v>60</v>
      </c>
      <c r="S105" s="569" t="s">
        <v>55</v>
      </c>
      <c r="T105" s="92"/>
      <c r="U105" s="270"/>
      <c r="V105" s="270"/>
      <c r="W105" s="270"/>
    </row>
    <row r="106" spans="1:28" s="272" customFormat="1" ht="12.75" hidden="1" customHeight="1" outlineLevel="1">
      <c r="B106" s="984"/>
      <c r="C106" s="922"/>
      <c r="D106" s="382" t="s">
        <v>32</v>
      </c>
      <c r="E106" s="383"/>
      <c r="F106" s="427">
        <f>ROUND(F75*(1+0.3),-1)</f>
        <v>60</v>
      </c>
      <c r="G106" s="452">
        <v>72</v>
      </c>
      <c r="H106" s="427">
        <f>ROUND(H75*(1+0.3),-1)</f>
        <v>90</v>
      </c>
      <c r="I106" s="452">
        <v>108</v>
      </c>
      <c r="J106" s="427">
        <f>ROUND(J75*(1+0.3),-1)</f>
        <v>120</v>
      </c>
      <c r="K106" s="452">
        <v>144</v>
      </c>
      <c r="L106" s="501">
        <v>140</v>
      </c>
      <c r="M106" s="504">
        <v>168</v>
      </c>
      <c r="N106" s="427">
        <f>ROUND(N75*(1+0.3),-1)</f>
        <v>160</v>
      </c>
      <c r="O106" s="452">
        <v>192</v>
      </c>
      <c r="P106" s="501">
        <f>ROUND(P75*(1+0.3),-1)</f>
        <v>40</v>
      </c>
      <c r="Q106" s="547" t="s">
        <v>55</v>
      </c>
      <c r="R106" s="501">
        <f>ROUND(R75*(1+0.3),-1)</f>
        <v>60</v>
      </c>
      <c r="S106" s="569" t="s">
        <v>55</v>
      </c>
      <c r="T106" s="92"/>
      <c r="U106" s="270"/>
      <c r="V106" s="270"/>
      <c r="W106" s="270"/>
    </row>
    <row r="107" spans="1:28" s="272" customFormat="1" ht="12.75" hidden="1" customHeight="1" outlineLevel="1">
      <c r="B107" s="984"/>
      <c r="C107" s="922"/>
      <c r="D107" s="382" t="s">
        <v>147</v>
      </c>
      <c r="E107" s="383"/>
      <c r="F107" s="427">
        <f>ROUND(F75*(1+0.3),-1)</f>
        <v>60</v>
      </c>
      <c r="G107" s="452">
        <v>72</v>
      </c>
      <c r="H107" s="427">
        <f>ROUND(H75*(1+0.3),-1)</f>
        <v>90</v>
      </c>
      <c r="I107" s="452">
        <v>108</v>
      </c>
      <c r="J107" s="427">
        <f>ROUND(J75*(1+0.3),-1)</f>
        <v>120</v>
      </c>
      <c r="K107" s="452">
        <v>144</v>
      </c>
      <c r="L107" s="501">
        <v>140</v>
      </c>
      <c r="M107" s="504">
        <v>168</v>
      </c>
      <c r="N107" s="427">
        <f>ROUND(N75*(1+0.3),-1)</f>
        <v>160</v>
      </c>
      <c r="O107" s="452">
        <v>192</v>
      </c>
      <c r="P107" s="501">
        <f>ROUND(P75*(1+0.3),-1)</f>
        <v>40</v>
      </c>
      <c r="Q107" s="547" t="s">
        <v>55</v>
      </c>
      <c r="R107" s="501">
        <f>ROUND(R75*(1+0.3),-1)</f>
        <v>60</v>
      </c>
      <c r="S107" s="569" t="s">
        <v>55</v>
      </c>
      <c r="T107" s="92"/>
      <c r="U107" s="270"/>
      <c r="V107" s="270"/>
      <c r="W107" s="270"/>
    </row>
    <row r="108" spans="1:28" s="272" customFormat="1" ht="12.75" hidden="1" customHeight="1" outlineLevel="1">
      <c r="B108" s="984"/>
      <c r="C108" s="922"/>
      <c r="D108" s="382" t="s">
        <v>133</v>
      </c>
      <c r="E108" s="383"/>
      <c r="F108" s="427">
        <f>ROUND(F85*(1+0.3),-1)</f>
        <v>60</v>
      </c>
      <c r="G108" s="452">
        <v>72</v>
      </c>
      <c r="H108" s="427">
        <f>ROUND(H85*(1+0.3),-1)</f>
        <v>90</v>
      </c>
      <c r="I108" s="452">
        <v>108</v>
      </c>
      <c r="J108" s="427">
        <f>ROUND(J85*(1+0.3),-1)</f>
        <v>120</v>
      </c>
      <c r="K108" s="452">
        <v>144</v>
      </c>
      <c r="L108" s="501">
        <v>140</v>
      </c>
      <c r="M108" s="504">
        <v>168</v>
      </c>
      <c r="N108" s="427" t="s">
        <v>55</v>
      </c>
      <c r="O108" s="428" t="s">
        <v>55</v>
      </c>
      <c r="P108" s="501">
        <f>ROUND(P85*(1+0.3),-1)</f>
        <v>40</v>
      </c>
      <c r="Q108" s="547" t="s">
        <v>55</v>
      </c>
      <c r="R108" s="501">
        <f>ROUND(R85*(1+0.3),-1)</f>
        <v>60</v>
      </c>
      <c r="S108" s="569" t="s">
        <v>55</v>
      </c>
      <c r="T108" s="92"/>
      <c r="U108" s="270"/>
      <c r="V108" s="270"/>
      <c r="W108" s="270"/>
    </row>
    <row r="109" spans="1:28" s="272" customFormat="1" ht="12.75" hidden="1" customHeight="1" outlineLevel="1">
      <c r="B109" s="984"/>
      <c r="C109" s="922"/>
      <c r="D109" s="382" t="s">
        <v>39</v>
      </c>
      <c r="E109" s="383"/>
      <c r="F109" s="427">
        <f>ROUND(F57*(1+0.3),-1)</f>
        <v>40</v>
      </c>
      <c r="G109" s="452">
        <v>48</v>
      </c>
      <c r="H109" s="427">
        <f>ROUND(H57*(1+0.3),-1)</f>
        <v>60</v>
      </c>
      <c r="I109" s="452">
        <v>72</v>
      </c>
      <c r="J109" s="427">
        <f>ROUND(J57*(1+0.3),-1)</f>
        <v>80</v>
      </c>
      <c r="K109" s="452">
        <v>96</v>
      </c>
      <c r="L109" s="501">
        <v>90</v>
      </c>
      <c r="M109" s="504">
        <v>108</v>
      </c>
      <c r="N109" s="427">
        <f>ROUND(N57*(1+0.3),-1)</f>
        <v>100</v>
      </c>
      <c r="O109" s="452">
        <v>120</v>
      </c>
      <c r="P109" s="501">
        <f>ROUND(P57*(1+0.3),-1)</f>
        <v>30</v>
      </c>
      <c r="Q109" s="547" t="s">
        <v>55</v>
      </c>
      <c r="R109" s="501">
        <f>ROUND(R57*(1+0.3),-1)</f>
        <v>40</v>
      </c>
      <c r="S109" s="569" t="s">
        <v>55</v>
      </c>
      <c r="T109" s="92"/>
      <c r="U109" s="270"/>
      <c r="V109" s="270"/>
      <c r="W109" s="270"/>
    </row>
    <row r="110" spans="1:28" s="272" customFormat="1" ht="12.75" hidden="1" customHeight="1" outlineLevel="1">
      <c r="B110" s="984"/>
      <c r="C110" s="922"/>
      <c r="D110" s="380" t="s">
        <v>148</v>
      </c>
      <c r="E110" s="381"/>
      <c r="F110" s="429">
        <f>ROUND(F75*(1+0.3),-1)</f>
        <v>60</v>
      </c>
      <c r="G110" s="453">
        <v>72</v>
      </c>
      <c r="H110" s="429">
        <f>ROUND(H75*(1+0.3),-1)</f>
        <v>90</v>
      </c>
      <c r="I110" s="453">
        <v>108</v>
      </c>
      <c r="J110" s="429">
        <f>ROUND(J75*(1+0.3),-1)</f>
        <v>120</v>
      </c>
      <c r="K110" s="453">
        <v>144</v>
      </c>
      <c r="L110" s="502">
        <v>140</v>
      </c>
      <c r="M110" s="505">
        <v>168</v>
      </c>
      <c r="N110" s="429">
        <f>ROUND(N75*(1+0.3),-1)</f>
        <v>160</v>
      </c>
      <c r="O110" s="453">
        <v>192</v>
      </c>
      <c r="P110" s="502">
        <f>ROUND(P75*(1+0.3),-1)</f>
        <v>40</v>
      </c>
      <c r="Q110" s="543" t="s">
        <v>55</v>
      </c>
      <c r="R110" s="502">
        <f>ROUND(R75*(1+0.3),-1)</f>
        <v>60</v>
      </c>
      <c r="S110" s="571" t="s">
        <v>55</v>
      </c>
      <c r="T110" s="92"/>
      <c r="U110" s="270"/>
      <c r="V110" s="270"/>
      <c r="W110" s="270"/>
    </row>
    <row r="111" spans="1:28" s="272" customFormat="1" ht="52.5" customHeight="1" collapsed="1">
      <c r="B111" s="984"/>
      <c r="C111" s="967"/>
      <c r="D111" s="731" t="str">
        <f>D98&amp;", "&amp;D99&amp;", "&amp;D100&amp;", "&amp;D101&amp;", "&amp;D102&amp;", "&amp;D103&amp;", "&amp;D104&amp;", "&amp;D105&amp;", "&amp;D106&amp;", "&amp;D107&amp;", "&amp;D108&amp;", "&amp;D109&amp;", "&amp;D110</f>
        <v>WP SportoweFakty, WP Facet, WP Dom, WP Moto, WP Tech, WP Autokult, WP Fotoblogia, WP Gadżetomania, WP Komórkomania, WP Gry, WP Pilot, WP Film, dobreprogramy.pl⁵</v>
      </c>
      <c r="E111" s="732"/>
      <c r="F111" s="432">
        <v>45</v>
      </c>
      <c r="G111" s="447">
        <v>54</v>
      </c>
      <c r="H111" s="432">
        <v>68</v>
      </c>
      <c r="I111" s="447">
        <v>81</v>
      </c>
      <c r="J111" s="432">
        <v>90</v>
      </c>
      <c r="K111" s="447">
        <v>108</v>
      </c>
      <c r="L111" s="426" t="s">
        <v>55</v>
      </c>
      <c r="M111" s="447" t="s">
        <v>55</v>
      </c>
      <c r="N111" s="426">
        <v>120</v>
      </c>
      <c r="O111" s="447">
        <v>144</v>
      </c>
      <c r="P111" s="521">
        <v>34</v>
      </c>
      <c r="Q111" s="551" t="s">
        <v>55</v>
      </c>
      <c r="R111" s="521">
        <v>45</v>
      </c>
      <c r="S111" s="564" t="s">
        <v>55</v>
      </c>
      <c r="T111" s="92"/>
      <c r="U111" s="270"/>
      <c r="V111" s="270"/>
      <c r="W111" s="270"/>
    </row>
    <row r="112" spans="1:28" ht="36" customHeight="1">
      <c r="A112" s="272"/>
      <c r="B112" s="984"/>
      <c r="C112" s="410" t="str">
        <f>IF('Język - Language'!$B$30="Polski","PAKIET SPECJALNY","DEDICATED PACKAGE")</f>
        <v>PAKIET SPECJALNY</v>
      </c>
      <c r="D112" s="731" t="str">
        <f>IF('Język - Language'!$B$30="Polski","Min. 4 wybrane serwisy - BEZ SERWISÓW KATEGORII BIZNES oraz ZDROWIE I PRENTING","Min. 4 selected sites - EXCLUDING BUSINESS, HEALTH AND PARENTING SITES")</f>
        <v>Min. 4 wybrane serwisy - BEZ SERWISÓW KATEGORII BIZNES oraz ZDROWIE I PRENTING</v>
      </c>
      <c r="E112" s="732"/>
      <c r="F112" s="433">
        <v>67</v>
      </c>
      <c r="G112" s="445">
        <v>80</v>
      </c>
      <c r="H112" s="433">
        <v>86</v>
      </c>
      <c r="I112" s="445">
        <v>103</v>
      </c>
      <c r="J112" s="433">
        <v>114</v>
      </c>
      <c r="K112" s="445">
        <v>137</v>
      </c>
      <c r="L112" s="433">
        <v>135</v>
      </c>
      <c r="M112" s="445">
        <v>162</v>
      </c>
      <c r="N112" s="433">
        <v>150</v>
      </c>
      <c r="O112" s="445">
        <v>180</v>
      </c>
      <c r="P112" s="524">
        <v>43</v>
      </c>
      <c r="Q112" s="542" t="s">
        <v>55</v>
      </c>
      <c r="R112" s="521">
        <v>67</v>
      </c>
      <c r="S112" s="559" t="s">
        <v>55</v>
      </c>
      <c r="T112" s="25"/>
      <c r="U112" s="16"/>
      <c r="V112" s="25"/>
      <c r="W112" s="25"/>
      <c r="X112" s="270"/>
      <c r="Y112" s="270"/>
      <c r="Z112" s="270"/>
      <c r="AA112" s="270"/>
      <c r="AB112" s="270"/>
    </row>
    <row r="113" spans="1:28">
      <c r="A113" s="272"/>
      <c r="B113" s="411"/>
      <c r="C113" s="276"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3" s="98"/>
      <c r="E113" s="100"/>
      <c r="F113" s="98"/>
      <c r="G113" s="98"/>
      <c r="H113" s="98"/>
      <c r="I113" s="99"/>
      <c r="J113" s="272"/>
      <c r="K113" s="272"/>
      <c r="L113" s="272"/>
      <c r="M113" s="272"/>
      <c r="N113" s="272"/>
      <c r="O113" s="272"/>
      <c r="P113" s="272"/>
      <c r="R113" s="272"/>
      <c r="S113" s="272"/>
      <c r="T113" s="272"/>
      <c r="U113" s="272"/>
      <c r="V113" s="272"/>
      <c r="W113" s="272"/>
      <c r="X113" s="272"/>
      <c r="Y113" s="272"/>
      <c r="Z113" s="272"/>
      <c r="AA113" s="272"/>
      <c r="AB113" s="272"/>
    </row>
    <row r="114" spans="1:28">
      <c r="A114" s="272"/>
      <c r="B114" s="272"/>
      <c r="C114" s="277"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14" s="62"/>
      <c r="E114" s="45"/>
      <c r="F114" s="272"/>
      <c r="G114" s="272"/>
      <c r="H114" s="289"/>
      <c r="I114" s="272"/>
      <c r="J114" s="272"/>
      <c r="K114" s="272"/>
      <c r="L114" s="272"/>
      <c r="M114" s="272"/>
      <c r="N114" s="272"/>
      <c r="O114" s="272"/>
      <c r="P114" s="272"/>
      <c r="R114" s="272"/>
      <c r="S114" s="272"/>
      <c r="T114" s="272"/>
      <c r="U114" s="272"/>
      <c r="V114" s="272"/>
      <c r="W114" s="272"/>
      <c r="X114" s="272"/>
      <c r="Y114" s="272"/>
      <c r="Z114" s="272"/>
      <c r="AA114" s="272"/>
      <c r="AB114" s="272"/>
    </row>
    <row r="115" spans="1:28" s="232" customFormat="1">
      <c r="A115" s="272"/>
      <c r="B115" s="272"/>
      <c r="C115" s="277" t="str">
        <f>IF('Język - Language'!$B$30="Polski","³ Format dostępny na wybranych serwisach.","³ Available only in selected sites.")</f>
        <v>³ Format dostępny na wybranych serwisach.</v>
      </c>
      <c r="D115" s="62"/>
      <c r="E115" s="45"/>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row>
    <row r="116" spans="1:28" s="232" customFormat="1">
      <c r="A116" s="272"/>
      <c r="B116" s="272"/>
      <c r="C116" s="268" t="str">
        <f>IF('Język - Language'!$B$30="Polski","⁴ +100% do ceny wybranej kategorii w przypadku serwisu Pudelek","⁴ +100% extra charge to the price of the selected category in case of site Pudelek.pl.")</f>
        <v>⁴ +100% do ceny wybranej kategorii w przypadku serwisu Pudelek</v>
      </c>
      <c r="D116" s="62"/>
      <c r="E116" s="45"/>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row>
    <row r="117" spans="1:28" s="272" customFormat="1">
      <c r="C117" s="268" t="str">
        <f>IF('Język - Language'!$B$30="Polski","⁵ Screening na dobreprogramy.pl sprzedawany wyłącznie poza pakietem.","⁵ Screening on site dobreprogramy.pl is only available outside the package.")</f>
        <v>⁵ Screening na dobreprogramy.pl sprzedawany wyłącznie poza pakietem.</v>
      </c>
      <c r="D117" s="62"/>
      <c r="E117" s="45"/>
    </row>
    <row r="118" spans="1:28" s="272" customFormat="1">
      <c r="C118" s="268"/>
      <c r="D118" s="62"/>
      <c r="E118" s="45"/>
    </row>
    <row r="119" spans="1:28" s="272" customFormat="1" ht="12.75" customHeight="1">
      <c r="B119" s="270"/>
      <c r="C119" s="976" t="str">
        <f>IF('Język - Language'!$B$30="Polski","KATEGORIE","CATEGORIES")</f>
        <v>KATEGORIE</v>
      </c>
      <c r="D119" s="977" t="str">
        <f>IF('Język - Language'!$B$30="Polski","MIEJSCE EMISJI","PLACE OF EMISSION")</f>
        <v>MIEJSCE EMISJI</v>
      </c>
      <c r="E119" s="978"/>
      <c r="F119" s="980" t="str">
        <f>IF('Język - Language'!$B$30="Polski","RECTANGLE, SKYSCRAPER","RECTANGLE, SKYSCRAPER")</f>
        <v>RECTANGLE, SKYSCRAPER</v>
      </c>
      <c r="G119" s="981"/>
      <c r="H119" s="981" t="str">
        <f>IF('Język - Language'!$B$30="Polski","DOUBLE BILLBOARD,","DOUBLE BILLBOARD,")</f>
        <v>DOUBLE BILLBOARD,</v>
      </c>
      <c r="I119" s="981"/>
      <c r="J119" s="981" t="str">
        <f>IF('Język - Language'!$B$30="Polski","TRIPLE BILLBOARD,","TRIPLE BILLBOARD,")</f>
        <v>TRIPLE BILLBOARD,</v>
      </c>
      <c r="K119" s="964"/>
      <c r="L119" s="963" t="str">
        <f>IF('Język - Language'!$B$30="Polski","SCREENING 200³","SCREENING 200³")</f>
        <v>SCREENING 200³</v>
      </c>
      <c r="M119" s="964"/>
      <c r="N119" s="93"/>
      <c r="O119" s="270"/>
      <c r="P119" s="270"/>
      <c r="Q119" s="270"/>
    </row>
    <row r="120" spans="1:28" s="272" customFormat="1" ht="12.75" customHeight="1">
      <c r="B120" s="270"/>
      <c r="C120" s="969"/>
      <c r="D120" s="809"/>
      <c r="E120" s="979"/>
      <c r="F120" s="971"/>
      <c r="G120" s="933"/>
      <c r="H120" s="933" t="str">
        <f>IF('Język - Language'!$B$30="Polski","FLOATING HALFPAGE","FLOATING HALFPATE")</f>
        <v>FLOATING HALFPAGE</v>
      </c>
      <c r="I120" s="933"/>
      <c r="J120" s="933"/>
      <c r="K120" s="938"/>
      <c r="L120" s="965"/>
      <c r="M120" s="938"/>
      <c r="N120" s="93"/>
      <c r="O120" s="270"/>
      <c r="P120" s="270"/>
      <c r="Q120" s="270"/>
    </row>
    <row r="121" spans="1:28" s="272" customFormat="1" ht="12.75" customHeight="1">
      <c r="B121" s="270"/>
      <c r="C121" s="969"/>
      <c r="D121" s="809"/>
      <c r="E121" s="979"/>
      <c r="F121" s="982" t="str">
        <f>IF('Język - Language'!$B$30="Polski","MOBILE RECTANGLE","MOBILE RECTANGLE")</f>
        <v>MOBILE RECTANGLE</v>
      </c>
      <c r="G121" s="983"/>
      <c r="H121" s="933" t="str">
        <f>IF('Język - Language'!$B$30="Polski","HALFPAGE","HALFPAGE")</f>
        <v>HALFPAGE</v>
      </c>
      <c r="I121" s="933"/>
      <c r="J121" s="933" t="str">
        <f>IF('Język - Language'!$B$30="Polski","WIDEBOARD","WIDEBOARD")</f>
        <v>WIDEBOARD</v>
      </c>
      <c r="K121" s="938"/>
      <c r="L121" s="973"/>
      <c r="M121" s="974"/>
      <c r="N121" s="93"/>
      <c r="O121" s="270"/>
      <c r="P121" s="270"/>
      <c r="Q121" s="270"/>
    </row>
    <row r="122" spans="1:28" s="272" customFormat="1" ht="12.75" customHeight="1">
      <c r="B122" s="270"/>
      <c r="C122" s="969"/>
      <c r="D122" s="809"/>
      <c r="E122" s="979"/>
      <c r="F122" s="982"/>
      <c r="G122" s="983"/>
      <c r="H122" s="983"/>
      <c r="I122" s="983"/>
      <c r="J122" s="933"/>
      <c r="K122" s="938"/>
      <c r="L122" s="973"/>
      <c r="M122" s="974"/>
      <c r="N122" s="93"/>
      <c r="O122" s="270"/>
      <c r="P122" s="270"/>
      <c r="Q122" s="270"/>
    </row>
    <row r="123" spans="1:28" s="272" customFormat="1" ht="12.75" customHeight="1">
      <c r="B123" s="270"/>
      <c r="C123" s="969"/>
      <c r="D123" s="809"/>
      <c r="E123" s="979"/>
      <c r="F123" s="971" t="s">
        <v>243</v>
      </c>
      <c r="G123" s="972"/>
      <c r="H123" s="971" t="s">
        <v>243</v>
      </c>
      <c r="I123" s="972"/>
      <c r="J123" s="971" t="s">
        <v>243</v>
      </c>
      <c r="K123" s="972"/>
      <c r="L123" s="971" t="s">
        <v>243</v>
      </c>
      <c r="M123" s="938"/>
      <c r="N123" s="93"/>
      <c r="O123" s="270"/>
      <c r="P123" s="270"/>
      <c r="Q123" s="270"/>
    </row>
    <row r="124" spans="1:28" s="272" customFormat="1" ht="12.75" customHeight="1">
      <c r="B124" s="270"/>
      <c r="C124" s="970"/>
      <c r="D124" s="809"/>
      <c r="E124" s="979"/>
      <c r="F124" s="971"/>
      <c r="G124" s="972"/>
      <c r="H124" s="971"/>
      <c r="I124" s="972"/>
      <c r="J124" s="971"/>
      <c r="K124" s="972"/>
      <c r="L124" s="971"/>
      <c r="M124" s="938"/>
      <c r="N124" s="93"/>
      <c r="O124" s="270"/>
      <c r="P124" s="270"/>
      <c r="Q124" s="270"/>
    </row>
    <row r="125" spans="1:28" s="272" customFormat="1" ht="36" customHeight="1">
      <c r="C125" s="661" t="s">
        <v>257</v>
      </c>
      <c r="D125" s="731" t="s">
        <v>252</v>
      </c>
      <c r="E125" s="732"/>
      <c r="F125" s="1026">
        <v>45</v>
      </c>
      <c r="G125" s="996"/>
      <c r="H125" s="995">
        <v>68</v>
      </c>
      <c r="I125" s="996"/>
      <c r="J125" s="995">
        <v>90</v>
      </c>
      <c r="K125" s="997"/>
      <c r="L125" s="888">
        <v>140</v>
      </c>
      <c r="M125" s="889"/>
      <c r="N125" s="91"/>
      <c r="O125" s="270"/>
      <c r="P125" s="270"/>
      <c r="Q125" s="270"/>
    </row>
    <row r="126" spans="1:28" s="272" customFormat="1">
      <c r="C126" s="268"/>
      <c r="D126" s="62"/>
      <c r="E126" s="45"/>
    </row>
    <row r="127" spans="1:28" s="272" customFormat="1">
      <c r="C127" s="268"/>
      <c r="D127" s="62"/>
      <c r="E127" s="45"/>
    </row>
    <row r="128" spans="1:28" s="272" customFormat="1">
      <c r="C128" s="268"/>
      <c r="D128" s="62"/>
      <c r="E128" s="45"/>
    </row>
    <row r="129" spans="2:6" s="272" customFormat="1">
      <c r="C129" s="201" t="str">
        <f>IF('Język - Language'!$B$30="Polski","STANDARDOWE FORMATY REKLAMOWE","STANDARD AD FORMATS")</f>
        <v>STANDARDOWE FORMATY REKLAMOWE</v>
      </c>
      <c r="D129" s="62"/>
      <c r="E129" s="45"/>
    </row>
    <row r="130" spans="2:6" s="272" customFormat="1" ht="25.5" customHeight="1">
      <c r="C130" s="989" t="str">
        <f>IF('Język - Language'!$B$30="Polski","MIEJSCE EMISJI","PLACE OF EMISSION")</f>
        <v>MIEJSCE EMISJI</v>
      </c>
      <c r="D130" s="357" t="str">
        <f>IF('Język - Language'!$B$30="Polski","MODEL EMISJI","MODEL OF EMISSION")</f>
        <v>MODEL EMISJI</v>
      </c>
      <c r="E130" s="894" t="s">
        <v>93</v>
      </c>
      <c r="F130" s="895"/>
    </row>
    <row r="131" spans="2:6" s="272" customFormat="1" ht="25.5" customHeight="1">
      <c r="C131" s="989"/>
      <c r="D131" s="1024" t="str">
        <f>IF('Język - Language'!$B$30="Polski","rozliczenie za widzialne odsłony wg standardu IAB¹","settlement for visible ad views according to the IAB standard¹")</f>
        <v>rozliczenie za widzialne odsłony wg standardu IAB¹</v>
      </c>
      <c r="E131" s="1024"/>
      <c r="F131" s="1025"/>
    </row>
    <row r="132" spans="2:6" s="272" customFormat="1" ht="12.75" customHeight="1">
      <c r="C132" s="989"/>
      <c r="D132" s="353"/>
      <c r="E132" s="1024" t="s">
        <v>95</v>
      </c>
      <c r="F132" s="1025"/>
    </row>
    <row r="133" spans="2:6" s="272" customFormat="1" ht="25.5" customHeight="1">
      <c r="B133" s="183"/>
      <c r="C133" s="354" t="s">
        <v>30</v>
      </c>
      <c r="D133" s="1022" t="s">
        <v>94</v>
      </c>
      <c r="E133" s="1020">
        <v>155</v>
      </c>
      <c r="F133" s="1021"/>
    </row>
    <row r="134" spans="2:6" s="272" customFormat="1" ht="25.5" customHeight="1">
      <c r="B134" s="183"/>
      <c r="C134" s="355" t="s">
        <v>44</v>
      </c>
      <c r="D134" s="1022"/>
      <c r="E134" s="1018">
        <v>155</v>
      </c>
      <c r="F134" s="1019"/>
    </row>
    <row r="135" spans="2:6" s="272" customFormat="1" ht="25.5" customHeight="1">
      <c r="B135" s="183"/>
      <c r="C135" s="355" t="s">
        <v>39</v>
      </c>
      <c r="D135" s="1022"/>
      <c r="E135" s="1018">
        <v>120</v>
      </c>
      <c r="F135" s="1019"/>
    </row>
    <row r="136" spans="2:6" s="272" customFormat="1" ht="25.5" customHeight="1">
      <c r="B136" s="183"/>
      <c r="C136" s="355" t="s">
        <v>62</v>
      </c>
      <c r="D136" s="1022"/>
      <c r="E136" s="1018">
        <v>120</v>
      </c>
      <c r="F136" s="1019"/>
    </row>
    <row r="137" spans="2:6" s="272" customFormat="1" ht="25.5" customHeight="1">
      <c r="B137" s="183"/>
      <c r="C137" s="355" t="s">
        <v>41</v>
      </c>
      <c r="D137" s="1022"/>
      <c r="E137" s="1018">
        <v>155</v>
      </c>
      <c r="F137" s="1019"/>
    </row>
    <row r="138" spans="2:6" s="272" customFormat="1" ht="25.5" customHeight="1">
      <c r="B138" s="183"/>
      <c r="C138" s="355" t="s">
        <v>37</v>
      </c>
      <c r="D138" s="1022"/>
      <c r="E138" s="1018">
        <v>155</v>
      </c>
      <c r="F138" s="1019"/>
    </row>
    <row r="139" spans="2:6" s="272" customFormat="1" ht="25.5" customHeight="1">
      <c r="B139" s="183"/>
      <c r="C139" s="355" t="s">
        <v>91</v>
      </c>
      <c r="D139" s="1022"/>
      <c r="E139" s="1018">
        <v>270</v>
      </c>
      <c r="F139" s="1019"/>
    </row>
    <row r="140" spans="2:6" s="272" customFormat="1" ht="25.5" customHeight="1">
      <c r="B140" s="183"/>
      <c r="C140" s="355" t="s">
        <v>92</v>
      </c>
      <c r="D140" s="1022"/>
      <c r="E140" s="1018">
        <v>195</v>
      </c>
      <c r="F140" s="1019"/>
    </row>
    <row r="141" spans="2:6" s="272" customFormat="1" ht="25.5" customHeight="1">
      <c r="B141" s="183"/>
      <c r="C141" s="355" t="s">
        <v>52</v>
      </c>
      <c r="D141" s="1022"/>
      <c r="E141" s="1018">
        <v>120</v>
      </c>
      <c r="F141" s="1019"/>
    </row>
    <row r="142" spans="2:6" s="272" customFormat="1" ht="25.5" customHeight="1">
      <c r="B142" s="183"/>
      <c r="C142" s="355" t="s">
        <v>21</v>
      </c>
      <c r="D142" s="1022"/>
      <c r="E142" s="1018">
        <v>195</v>
      </c>
      <c r="F142" s="1019"/>
    </row>
    <row r="143" spans="2:6" s="272" customFormat="1" ht="25.5" customHeight="1">
      <c r="B143" s="183"/>
      <c r="C143" s="355" t="s">
        <v>40</v>
      </c>
      <c r="D143" s="1022"/>
      <c r="E143" s="1018">
        <v>155</v>
      </c>
      <c r="F143" s="1019"/>
    </row>
    <row r="144" spans="2:6" s="272" customFormat="1" ht="25.5" customHeight="1">
      <c r="B144" s="183"/>
      <c r="C144" s="356" t="s">
        <v>36</v>
      </c>
      <c r="D144" s="1023"/>
      <c r="E144" s="1016">
        <v>195</v>
      </c>
      <c r="F144" s="1017"/>
    </row>
    <row r="145" spans="1:28" s="94" customFormat="1" ht="12.75" customHeight="1">
      <c r="A145" s="272"/>
      <c r="B145" s="270"/>
      <c r="C145" s="276"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45" s="129"/>
      <c r="E145" s="22"/>
      <c r="F145" s="22"/>
      <c r="G145" s="22"/>
      <c r="H145" s="22"/>
      <c r="I145" s="22"/>
      <c r="J145" s="23"/>
      <c r="K145" s="23"/>
      <c r="L145" s="23"/>
      <c r="M145" s="23"/>
      <c r="N145" s="272"/>
      <c r="O145" s="272"/>
      <c r="P145" s="272"/>
      <c r="Q145" s="272"/>
      <c r="R145" s="272"/>
      <c r="S145" s="272"/>
      <c r="T145" s="272"/>
      <c r="U145" s="272"/>
      <c r="V145" s="272"/>
      <c r="W145" s="272"/>
      <c r="X145" s="272"/>
      <c r="Y145" s="272"/>
      <c r="Z145" s="272"/>
      <c r="AA145" s="272"/>
      <c r="AB145" s="272"/>
    </row>
    <row r="146" spans="1:28" s="272" customFormat="1" ht="12.75" customHeight="1">
      <c r="B146" s="270"/>
      <c r="C146" s="276"/>
      <c r="D146" s="129"/>
      <c r="E146" s="22"/>
      <c r="F146" s="22"/>
      <c r="G146" s="22"/>
      <c r="H146" s="22"/>
      <c r="I146" s="22"/>
      <c r="J146" s="23"/>
      <c r="K146" s="23"/>
      <c r="L146" s="23"/>
      <c r="M146" s="23"/>
    </row>
    <row r="147" spans="1:28">
      <c r="A147" s="272"/>
      <c r="B147" s="272"/>
      <c r="C147" s="289"/>
      <c r="D147" s="289"/>
      <c r="E147" s="336"/>
      <c r="F147" s="336"/>
      <c r="G147" s="336"/>
      <c r="H147" s="336"/>
      <c r="I147" s="336"/>
      <c r="J147" s="289"/>
      <c r="K147" s="272"/>
      <c r="L147" s="272"/>
      <c r="M147" s="626"/>
    </row>
    <row r="148" spans="1:28" s="123" customFormat="1">
      <c r="A148" s="272"/>
      <c r="B148" s="272"/>
      <c r="C148" s="203"/>
      <c r="D148" s="203"/>
      <c r="E148" s="336"/>
      <c r="F148" s="336"/>
      <c r="G148" s="336"/>
      <c r="H148" s="336"/>
      <c r="I148" s="336"/>
      <c r="J148" s="289"/>
      <c r="K148" s="272"/>
      <c r="L148" s="272"/>
      <c r="M148" s="326"/>
      <c r="Q148" s="272"/>
    </row>
    <row r="149" spans="1:28" s="123" customFormat="1" ht="12.75" customHeight="1">
      <c r="A149" s="272"/>
      <c r="B149" s="270"/>
      <c r="C149" s="212"/>
      <c r="D149" s="328"/>
      <c r="E149" s="328"/>
      <c r="F149" s="211"/>
      <c r="G149" s="211"/>
      <c r="H149" s="210"/>
      <c r="I149" s="210"/>
      <c r="J149" s="210"/>
      <c r="K149" s="272"/>
      <c r="L149" s="326"/>
      <c r="M149" s="272"/>
      <c r="Q149" s="272"/>
    </row>
    <row r="150" spans="1:28" s="123" customFormat="1">
      <c r="A150" s="272"/>
      <c r="B150" s="272"/>
      <c r="C150" s="203"/>
      <c r="D150" s="203"/>
      <c r="E150" s="336"/>
      <c r="F150" s="336"/>
      <c r="G150" s="336"/>
      <c r="H150" s="336"/>
      <c r="I150" s="336"/>
      <c r="J150" s="289"/>
      <c r="K150" s="272"/>
      <c r="L150" s="272"/>
      <c r="M150" s="326"/>
      <c r="Q150" s="272"/>
    </row>
  </sheetData>
  <mergeCells count="113">
    <mergeCell ref="R25:S26"/>
    <mergeCell ref="P30:Q30"/>
    <mergeCell ref="R30:S30"/>
    <mergeCell ref="M1:S3"/>
    <mergeCell ref="P29:S29"/>
    <mergeCell ref="N30:O30"/>
    <mergeCell ref="E140:F140"/>
    <mergeCell ref="H30:I30"/>
    <mergeCell ref="J30:K30"/>
    <mergeCell ref="D33:E33"/>
    <mergeCell ref="F30:G30"/>
    <mergeCell ref="D75:E75"/>
    <mergeCell ref="D85:E85"/>
    <mergeCell ref="D97:E97"/>
    <mergeCell ref="P25:Q26"/>
    <mergeCell ref="D57:E57"/>
    <mergeCell ref="F27:G28"/>
    <mergeCell ref="F25:G26"/>
    <mergeCell ref="H25:I25"/>
    <mergeCell ref="H122:I122"/>
    <mergeCell ref="L119:M120"/>
    <mergeCell ref="H120:I120"/>
    <mergeCell ref="L125:M125"/>
    <mergeCell ref="L123:M124"/>
    <mergeCell ref="E144:F144"/>
    <mergeCell ref="E137:F137"/>
    <mergeCell ref="E138:F138"/>
    <mergeCell ref="E139:F139"/>
    <mergeCell ref="D111:E111"/>
    <mergeCell ref="E134:F134"/>
    <mergeCell ref="E133:F133"/>
    <mergeCell ref="E141:F141"/>
    <mergeCell ref="D112:E112"/>
    <mergeCell ref="D133:D144"/>
    <mergeCell ref="E142:F142"/>
    <mergeCell ref="D131:F131"/>
    <mergeCell ref="E130:F130"/>
    <mergeCell ref="E132:F132"/>
    <mergeCell ref="E135:F135"/>
    <mergeCell ref="E136:F136"/>
    <mergeCell ref="E143:F143"/>
    <mergeCell ref="F125:G125"/>
    <mergeCell ref="F123:G124"/>
    <mergeCell ref="C7:C10"/>
    <mergeCell ref="C25:C31"/>
    <mergeCell ref="C11:C19"/>
    <mergeCell ref="F10:G10"/>
    <mergeCell ref="F12:G12"/>
    <mergeCell ref="F7:G8"/>
    <mergeCell ref="F9:I9"/>
    <mergeCell ref="F11:G11"/>
    <mergeCell ref="E7:E10"/>
    <mergeCell ref="H11:I18"/>
    <mergeCell ref="D7:D10"/>
    <mergeCell ref="H7:I8"/>
    <mergeCell ref="F15:G15"/>
    <mergeCell ref="F16:G16"/>
    <mergeCell ref="F17:G17"/>
    <mergeCell ref="F18:G18"/>
    <mergeCell ref="H10:I10"/>
    <mergeCell ref="F14:G14"/>
    <mergeCell ref="H27:I27"/>
    <mergeCell ref="H28:I28"/>
    <mergeCell ref="F21:G21"/>
    <mergeCell ref="H21:I21"/>
    <mergeCell ref="F13:G13"/>
    <mergeCell ref="F19:G19"/>
    <mergeCell ref="C130:C132"/>
    <mergeCell ref="J25:K26"/>
    <mergeCell ref="D25:E31"/>
    <mergeCell ref="F29:O29"/>
    <mergeCell ref="N25:O26"/>
    <mergeCell ref="N27:O28"/>
    <mergeCell ref="J27:K28"/>
    <mergeCell ref="L27:M28"/>
    <mergeCell ref="C86:C97"/>
    <mergeCell ref="C98:C111"/>
    <mergeCell ref="C37:C42"/>
    <mergeCell ref="D81:E81"/>
    <mergeCell ref="D68:E68"/>
    <mergeCell ref="D45:E45"/>
    <mergeCell ref="C43:C45"/>
    <mergeCell ref="C46:C57"/>
    <mergeCell ref="C58:C68"/>
    <mergeCell ref="D125:E125"/>
    <mergeCell ref="H125:I125"/>
    <mergeCell ref="J125:K125"/>
    <mergeCell ref="H123:I124"/>
    <mergeCell ref="J123:K124"/>
    <mergeCell ref="B11:B21"/>
    <mergeCell ref="L25:M26"/>
    <mergeCell ref="H26:I26"/>
    <mergeCell ref="C69:C75"/>
    <mergeCell ref="C82:C85"/>
    <mergeCell ref="C76:C81"/>
    <mergeCell ref="L30:M30"/>
    <mergeCell ref="L121:M122"/>
    <mergeCell ref="F20:G20"/>
    <mergeCell ref="H20:I20"/>
    <mergeCell ref="C119:C124"/>
    <mergeCell ref="D119:E124"/>
    <mergeCell ref="F119:G120"/>
    <mergeCell ref="H119:I119"/>
    <mergeCell ref="J119:K120"/>
    <mergeCell ref="F121:G122"/>
    <mergeCell ref="H121:I121"/>
    <mergeCell ref="J121:K122"/>
    <mergeCell ref="C34:C36"/>
    <mergeCell ref="D32:E32"/>
    <mergeCell ref="B32:B112"/>
    <mergeCell ref="H19:I19"/>
    <mergeCell ref="D36:E36"/>
    <mergeCell ref="D42:E42"/>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O119"/>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272" customWidth="1"/>
    <col min="2" max="2" width="2.85546875" style="2" customWidth="1"/>
    <col min="3" max="3" width="22.85546875" style="2" customWidth="1"/>
    <col min="4" max="4" width="35" style="2" customWidth="1"/>
    <col min="5" max="5" width="13.5703125" style="48" customWidth="1"/>
    <col min="6" max="6" width="13.5703125" style="272" customWidth="1"/>
    <col min="7" max="7" width="13.5703125" style="48" customWidth="1"/>
    <col min="8" max="10" width="17.140625" style="272" customWidth="1"/>
    <col min="11" max="11" width="18.7109375" style="272" customWidth="1"/>
    <col min="12" max="12" width="18.7109375" style="51" customWidth="1"/>
    <col min="13" max="13" width="12.85546875" style="272" customWidth="1"/>
    <col min="14" max="14" width="15.42578125" style="2" customWidth="1"/>
    <col min="15" max="16384" width="15.42578125" style="2"/>
  </cols>
  <sheetData>
    <row r="1" spans="1:15" ht="12.75" customHeight="1">
      <c r="B1" s="272"/>
      <c r="C1" s="272"/>
      <c r="D1" s="272"/>
      <c r="G1" s="274"/>
      <c r="I1" s="274"/>
      <c r="J1" s="274"/>
      <c r="K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L1" s="697"/>
      <c r="M1" s="697"/>
      <c r="N1" s="697"/>
      <c r="O1" s="697"/>
    </row>
    <row r="2" spans="1:15" ht="12.75" customHeight="1">
      <c r="B2" s="272"/>
      <c r="C2" s="272"/>
      <c r="D2" s="301"/>
      <c r="E2" s="274"/>
      <c r="F2" s="274"/>
      <c r="G2" s="274"/>
      <c r="H2" s="274"/>
      <c r="I2" s="274"/>
      <c r="J2" s="274"/>
      <c r="K2" s="697"/>
      <c r="L2" s="697"/>
      <c r="M2" s="697"/>
      <c r="N2" s="697"/>
      <c r="O2" s="697"/>
    </row>
    <row r="3" spans="1:15" ht="12.75" customHeight="1">
      <c r="B3" s="272"/>
      <c r="C3" s="272"/>
      <c r="D3" s="301"/>
      <c r="E3" s="274"/>
      <c r="F3" s="274"/>
      <c r="G3" s="274"/>
      <c r="H3" s="274"/>
      <c r="I3" s="274"/>
      <c r="J3" s="274"/>
      <c r="K3" s="697"/>
      <c r="L3" s="697"/>
      <c r="M3" s="697"/>
      <c r="N3" s="697"/>
      <c r="O3" s="697"/>
    </row>
    <row r="4" spans="1:15" s="34" customFormat="1" ht="12.75" customHeight="1">
      <c r="A4" s="275"/>
      <c r="B4" s="275"/>
      <c r="C4" s="35" t="str">
        <f>IF('Język - Language'!$B$30="Polski","            Oferta Wideo","             Video")</f>
        <v xml:space="preserve">            Oferta Wideo</v>
      </c>
      <c r="D4" s="275"/>
      <c r="E4" s="275"/>
      <c r="F4" s="275"/>
      <c r="H4" s="275"/>
      <c r="I4" s="275"/>
      <c r="J4" s="275"/>
      <c r="K4" s="275"/>
      <c r="L4" s="275"/>
    </row>
    <row r="5" spans="1:15" ht="12.75" customHeight="1">
      <c r="B5" s="272"/>
      <c r="C5" s="272"/>
      <c r="D5" s="272"/>
      <c r="E5" s="272"/>
      <c r="G5" s="272"/>
      <c r="L5" s="272"/>
      <c r="N5" s="272"/>
    </row>
    <row r="6" spans="1:15" s="90" customFormat="1" ht="12.75" customHeight="1">
      <c r="A6" s="272"/>
      <c r="B6" s="272"/>
      <c r="C6" s="272"/>
      <c r="D6" s="272"/>
      <c r="E6" s="272"/>
      <c r="F6" s="272"/>
      <c r="G6" s="272"/>
      <c r="H6" s="272"/>
      <c r="I6" s="272"/>
      <c r="J6" s="272"/>
      <c r="K6" s="272"/>
      <c r="L6" s="272"/>
      <c r="M6" s="272"/>
      <c r="N6" s="272"/>
    </row>
    <row r="7" spans="1:15" ht="25.5" customHeight="1">
      <c r="B7" s="270"/>
      <c r="C7" s="1055" t="str">
        <f>IF('Język - Language'!$B$30="Polski","PAKIET","PACKAGE")</f>
        <v>PAKIET</v>
      </c>
      <c r="D7" s="1059" t="str">
        <f>IF('Język - Language'!$B$30="Polski","MIEJSCE EMISJI","PLACE OF EMISSION")</f>
        <v>MIEJSCE EMISJI</v>
      </c>
      <c r="E7" s="1057" t="s">
        <v>291</v>
      </c>
      <c r="F7" s="1038"/>
      <c r="G7" s="1058"/>
      <c r="H7" s="1037" t="s">
        <v>292</v>
      </c>
      <c r="I7" s="1039"/>
      <c r="J7" s="1037" t="s">
        <v>296</v>
      </c>
      <c r="K7" s="1038"/>
      <c r="L7" s="1039"/>
      <c r="M7" s="1037" t="s">
        <v>297</v>
      </c>
      <c r="N7" s="1038"/>
      <c r="O7" s="1039"/>
    </row>
    <row r="8" spans="1:15" ht="25.5" customHeight="1">
      <c r="B8" s="270"/>
      <c r="C8" s="1056"/>
      <c r="D8" s="1060"/>
      <c r="E8" s="252" t="s">
        <v>210</v>
      </c>
      <c r="F8" s="252" t="s">
        <v>68</v>
      </c>
      <c r="G8" s="252" t="s">
        <v>69</v>
      </c>
      <c r="H8" s="252" t="s">
        <v>68</v>
      </c>
      <c r="I8" s="252" t="s">
        <v>69</v>
      </c>
      <c r="J8" s="252" t="s">
        <v>210</v>
      </c>
      <c r="K8" s="252" t="s">
        <v>68</v>
      </c>
      <c r="L8" s="252" t="s">
        <v>69</v>
      </c>
      <c r="M8" s="252" t="s">
        <v>210</v>
      </c>
      <c r="N8" s="252" t="s">
        <v>68</v>
      </c>
      <c r="O8" s="252" t="s">
        <v>69</v>
      </c>
    </row>
    <row r="9" spans="1:15" ht="36" customHeight="1">
      <c r="B9" s="984" t="str">
        <f>IF('Język - Language'!$B$30="Polski","EMISJA ODSŁONOWA CPV 3x100 Instream VideoAd","CPM EMISSION")</f>
        <v>EMISJA ODSŁONOWA CPV 3x100 Instream VideoAd</v>
      </c>
      <c r="C9" s="287" t="s">
        <v>112</v>
      </c>
      <c r="D9" s="280" t="str">
        <f>IF('Język - Language'!$B$30="Polski","WPM Zasięg (bez stron głównych o2 i WP oraz bez serwisów pocztowych)","WPM Reach (without o2 HP, WP HP and e-mail services)")</f>
        <v>WPM Zasięg (bez stron głównych o2 i WP oraz bez serwisów pocztowych)</v>
      </c>
      <c r="E9" s="642">
        <v>0.02</v>
      </c>
      <c r="F9" s="643">
        <v>0.03</v>
      </c>
      <c r="G9" s="644">
        <v>0.05</v>
      </c>
      <c r="H9" s="1046" t="s">
        <v>55</v>
      </c>
      <c r="I9" s="1049" t="s">
        <v>55</v>
      </c>
      <c r="J9" s="642">
        <v>0.01</v>
      </c>
      <c r="K9" s="643">
        <v>0.02</v>
      </c>
      <c r="L9" s="644">
        <v>0.04</v>
      </c>
      <c r="M9" s="683">
        <v>10</v>
      </c>
      <c r="N9" s="681">
        <v>20</v>
      </c>
      <c r="O9" s="682">
        <v>40</v>
      </c>
    </row>
    <row r="10" spans="1:15" s="272" customFormat="1" ht="36" customHeight="1">
      <c r="B10" s="984"/>
      <c r="C10" s="288" t="str">
        <f>IF('Język - Language'!$B$30="Polski","WYBRANY KANAŁ / SERWIS","SELECTED CHANNEL / SERVICE")</f>
        <v>WYBRANY KANAŁ / SERWIS</v>
      </c>
      <c r="D10" s="281"/>
      <c r="E10" s="645">
        <v>0.05</v>
      </c>
      <c r="F10" s="646">
        <v>7.0000000000000007E-2</v>
      </c>
      <c r="G10" s="647">
        <v>0.1</v>
      </c>
      <c r="H10" s="1047"/>
      <c r="I10" s="1050"/>
      <c r="J10" s="1041" t="s">
        <v>55</v>
      </c>
      <c r="K10" s="1031" t="s">
        <v>55</v>
      </c>
      <c r="L10" s="1029" t="s">
        <v>55</v>
      </c>
      <c r="M10" s="1041" t="s">
        <v>55</v>
      </c>
      <c r="N10" s="1031" t="s">
        <v>55</v>
      </c>
      <c r="O10" s="1029" t="s">
        <v>55</v>
      </c>
    </row>
    <row r="11" spans="1:15" s="232" customFormat="1" ht="36" customHeight="1">
      <c r="A11" s="272"/>
      <c r="B11" s="984"/>
      <c r="C11" s="256" t="str">
        <f>IF('Język - Language'!$B$30="Polski","BIZNES","BUSINESS")</f>
        <v>BIZNES</v>
      </c>
      <c r="D11" s="325" t="str">
        <f>'Serwisy &amp; Pakiety'!D36:E36</f>
        <v>WP Finanse, Portal Money.pl</v>
      </c>
      <c r="E11" s="645">
        <v>0.04</v>
      </c>
      <c r="F11" s="646">
        <v>0.06</v>
      </c>
      <c r="G11" s="647">
        <v>0.08</v>
      </c>
      <c r="H11" s="1047"/>
      <c r="I11" s="1050"/>
      <c r="J11" s="1042"/>
      <c r="K11" s="1032"/>
      <c r="L11" s="1030"/>
      <c r="M11" s="1042"/>
      <c r="N11" s="1032"/>
      <c r="O11" s="1030"/>
    </row>
    <row r="12" spans="1:15" s="232" customFormat="1" ht="42" customHeight="1">
      <c r="A12" s="272"/>
      <c r="B12" s="984"/>
      <c r="C12" s="255" t="str">
        <f>IF('Język - Language'!$B$30="Polski","INFO I SPORT","INFO AND SPORT")</f>
        <v>INFO I SPORT</v>
      </c>
      <c r="D12" s="325" t="str">
        <f>'Serwisy &amp; Pakiety'!D42:E42</f>
        <v>WP Wiadomości, WP Opinie, WP Pogoda, WP SportoweFakty, Wawalove</v>
      </c>
      <c r="E12" s="1063">
        <v>0.03</v>
      </c>
      <c r="F12" s="1066">
        <v>0.04</v>
      </c>
      <c r="G12" s="1034">
        <v>0.06</v>
      </c>
      <c r="H12" s="1047"/>
      <c r="I12" s="1050"/>
      <c r="J12" s="1042"/>
      <c r="K12" s="1032"/>
      <c r="L12" s="1030"/>
      <c r="M12" s="1042"/>
      <c r="N12" s="1032"/>
      <c r="O12" s="1030"/>
    </row>
    <row r="13" spans="1:15" s="232" customFormat="1" ht="36" customHeight="1">
      <c r="A13" s="272"/>
      <c r="B13" s="984"/>
      <c r="C13" s="256" t="str">
        <f>IF('Język - Language'!$B$30="Polski","MOTORYZACJA","AUTOMOTIVE")</f>
        <v>MOTORYZACJA</v>
      </c>
      <c r="D13" s="325" t="str">
        <f>'Serwisy &amp; Pakiety'!D45:E45</f>
        <v>WP Autokult, WP Moto</v>
      </c>
      <c r="E13" s="1064"/>
      <c r="F13" s="1067"/>
      <c r="G13" s="1035"/>
      <c r="H13" s="1047"/>
      <c r="I13" s="1050"/>
      <c r="J13" s="1042"/>
      <c r="K13" s="1032"/>
      <c r="L13" s="1030"/>
      <c r="M13" s="1042"/>
      <c r="N13" s="1032"/>
      <c r="O13" s="1030"/>
    </row>
    <row r="14" spans="1:15" ht="52.5" customHeight="1">
      <c r="B14" s="984"/>
      <c r="C14" s="255" t="str">
        <f>IF('Język - Language'!$B$30="Polski","ROZRYWKA","FUN")</f>
        <v>ROZRYWKA</v>
      </c>
      <c r="D14" s="325" t="str">
        <f>'Serwisy &amp; Pakiety'!D57:E57</f>
        <v>WP Film, WP Gry, WP Gwiazdy, WP Książki, WP Program TV, WP Teleshow, WP Pilot, WP Wideo, Pudelek, o2 serwisy, OpenFM</v>
      </c>
      <c r="E14" s="1064"/>
      <c r="F14" s="1067"/>
      <c r="G14" s="1035"/>
      <c r="H14" s="1047"/>
      <c r="I14" s="1050"/>
      <c r="J14" s="1042"/>
      <c r="K14" s="1032"/>
      <c r="L14" s="1030"/>
      <c r="M14" s="1042"/>
      <c r="N14" s="1032"/>
      <c r="O14" s="1030"/>
    </row>
    <row r="15" spans="1:15" ht="52.5" customHeight="1">
      <c r="B15" s="984"/>
      <c r="C15" s="256" t="str">
        <f>IF('Język - Language'!$B$30="Polski","STYL ŻYCIA","LIFESTYLE")</f>
        <v>STYL ŻYCIA</v>
      </c>
      <c r="D15" s="325" t="str">
        <f>'Serwisy &amp; Pakiety'!D68:E68</f>
        <v>WP abcZdrowie, WP Dom, WP Facet, WP Kobieta, Kafeteria.pl, WP Kuchnia, WP Parenting, WP Program TV, WP Turystyka, OpenFM</v>
      </c>
      <c r="E15" s="1064"/>
      <c r="F15" s="1067"/>
      <c r="G15" s="1035"/>
      <c r="H15" s="1047"/>
      <c r="I15" s="1050"/>
      <c r="J15" s="1042"/>
      <c r="K15" s="1032"/>
      <c r="L15" s="1030"/>
      <c r="M15" s="1042"/>
      <c r="N15" s="1032"/>
      <c r="O15" s="1030"/>
    </row>
    <row r="16" spans="1:15" ht="42" customHeight="1">
      <c r="B16" s="984"/>
      <c r="C16" s="256" t="str">
        <f>IF('Język - Language'!$B$30="Polski","TECHNOLOGIA","TECHNOLOGY")</f>
        <v>TECHNOLOGIA</v>
      </c>
      <c r="D16" s="325" t="str">
        <f>'Serwisy &amp; Pakiety'!D75:E75</f>
        <v>WP Tech, WP Gry, WP Fotoblogia, WP Gadżetomania, WP Komórkomania, dobreprogramy.pl⁵</v>
      </c>
      <c r="E16" s="1065"/>
      <c r="F16" s="1068"/>
      <c r="G16" s="1036"/>
      <c r="H16" s="1047"/>
      <c r="I16" s="1050"/>
      <c r="J16" s="1042"/>
      <c r="K16" s="1032"/>
      <c r="L16" s="1030"/>
      <c r="M16" s="1042"/>
      <c r="N16" s="1032"/>
      <c r="O16" s="1030"/>
    </row>
    <row r="17" spans="1:15" s="46" customFormat="1" ht="36" customHeight="1">
      <c r="A17" s="272"/>
      <c r="B17" s="984"/>
      <c r="C17" s="256" t="str">
        <f>IF('Język - Language'!$B$30="Polski","ZDROWIE I PARENTING","HEALTH AND PARENTING")</f>
        <v>ZDROWIE I PARENTING</v>
      </c>
      <c r="D17" s="325" t="str">
        <f>'Serwisy &amp; Pakiety'!D81:E81</f>
        <v>WP abcZdrowie, WP Fitness, WP Parenting, Medycyna24, Nerwica.com</v>
      </c>
      <c r="E17" s="645">
        <v>0.05</v>
      </c>
      <c r="F17" s="646">
        <v>7.0000000000000007E-2</v>
      </c>
      <c r="G17" s="647">
        <v>0.1</v>
      </c>
      <c r="H17" s="1048"/>
      <c r="I17" s="1051"/>
      <c r="J17" s="1042"/>
      <c r="K17" s="1032"/>
      <c r="L17" s="1030"/>
      <c r="M17" s="1042"/>
      <c r="N17" s="1032"/>
      <c r="O17" s="1030"/>
    </row>
    <row r="18" spans="1:15" s="272" customFormat="1" ht="36" customHeight="1">
      <c r="B18" s="984"/>
      <c r="C18" s="256" t="str">
        <f>IF('Język - Language'!$B$30="Polski","WIDEO I AUDIO","VIDEO AND AUDIO")</f>
        <v>WIDEO I AUDIO</v>
      </c>
      <c r="D18" s="325" t="str">
        <f>'Serwisy &amp; Pakiety'!D85:E85</f>
        <v>WP Pilot, WP Wideo, OpenFM</v>
      </c>
      <c r="E18" s="1063">
        <v>0.04</v>
      </c>
      <c r="F18" s="1066">
        <v>0.06</v>
      </c>
      <c r="G18" s="1034">
        <v>0.08</v>
      </c>
      <c r="H18" s="645" t="s">
        <v>259</v>
      </c>
      <c r="I18" s="647" t="s">
        <v>260</v>
      </c>
      <c r="J18" s="1042"/>
      <c r="K18" s="645" t="s">
        <v>301</v>
      </c>
      <c r="L18" s="647" t="s">
        <v>298</v>
      </c>
      <c r="M18" s="1042"/>
      <c r="N18" s="645" t="s">
        <v>299</v>
      </c>
      <c r="O18" s="647" t="s">
        <v>300</v>
      </c>
    </row>
    <row r="19" spans="1:15" s="272" customFormat="1" ht="52.5" customHeight="1">
      <c r="B19" s="984"/>
      <c r="C19" s="407" t="str">
        <f>IF('Język - Language'!$B$30="Polski","PAKIET SPECJALNY 'KOBIETA'","DEDICATED PACKAGE 'WOMAN'")</f>
        <v>PAKIET SPECJALNY 'KOBIETA'</v>
      </c>
      <c r="D19" s="406" t="str">
        <f>'Serwisy &amp; Pakiety'!D97:E97</f>
        <v>Kafeteria.pl, WP Kobieta, Pudelek, WP Dom, WP Gwiazdy, WP Kuchnia, WP Fitness, WP abcZdrowie, WP Parenting, WP Teleshow, WP Książki</v>
      </c>
      <c r="E19" s="1064"/>
      <c r="F19" s="1067"/>
      <c r="G19" s="1035"/>
      <c r="H19" s="1052" t="s">
        <v>55</v>
      </c>
      <c r="I19" s="1053" t="s">
        <v>55</v>
      </c>
      <c r="J19" s="1042"/>
      <c r="K19" s="1031" t="s">
        <v>55</v>
      </c>
      <c r="L19" s="1029" t="s">
        <v>55</v>
      </c>
      <c r="M19" s="1042"/>
      <c r="N19" s="1031" t="s">
        <v>55</v>
      </c>
      <c r="O19" s="1029" t="s">
        <v>55</v>
      </c>
    </row>
    <row r="20" spans="1:15" s="272" customFormat="1" ht="52.5" customHeight="1">
      <c r="B20" s="984"/>
      <c r="C20" s="407" t="str">
        <f>IF('Język - Language'!$B$30="Polski","PAKIET SPECJALNY 'MĘŻCZYZNA'","DEDICATED PACKAGE 'MAN'")</f>
        <v>PAKIET SPECJALNY 'MĘŻCZYZNA'</v>
      </c>
      <c r="D20" s="406" t="str">
        <f>'Serwisy &amp; Pakiety'!D111:E111</f>
        <v>WP SportoweFakty, WP Facet, WP Dom, WP Moto, WP Tech, WP Autokult, WP Fotoblogia, WP Gadżetomania, WP Komórkomania, WP Gry, WP Pilot, WP Film, dobreprogramy.pl⁵</v>
      </c>
      <c r="E20" s="1064"/>
      <c r="F20" s="1067"/>
      <c r="G20" s="1035"/>
      <c r="H20" s="1047"/>
      <c r="I20" s="1050"/>
      <c r="J20" s="1042"/>
      <c r="K20" s="1032"/>
      <c r="L20" s="1030"/>
      <c r="M20" s="1042"/>
      <c r="N20" s="1032"/>
      <c r="O20" s="1030"/>
    </row>
    <row r="21" spans="1:15" ht="36" customHeight="1">
      <c r="B21" s="984"/>
      <c r="C21" s="287" t="s">
        <v>70</v>
      </c>
      <c r="D21" s="511" t="str">
        <f>IF('Język - Language'!$B$30="Polski","Min. 4 wybrane serwisy - BEZ SERWISÓW KATEGORII BIZNES oraz ZDROWIE I PRENTING","Min. 4 selected sites - EXCLUDING BUSINESS, HEALTH AND PARENTING SITES")</f>
        <v>Min. 4 wybrane serwisy - BEZ SERWISÓW KATEGORII BIZNES oraz ZDROWIE I PRENTING</v>
      </c>
      <c r="E21" s="1065"/>
      <c r="F21" s="1068"/>
      <c r="G21" s="1036"/>
      <c r="H21" s="1048"/>
      <c r="I21" s="1051"/>
      <c r="J21" s="1043"/>
      <c r="K21" s="1033"/>
      <c r="L21" s="1040"/>
      <c r="M21" s="1043"/>
      <c r="N21" s="1033"/>
      <c r="O21" s="1040"/>
    </row>
    <row r="22" spans="1:15" s="272" customFormat="1" ht="25.5" customHeight="1">
      <c r="B22" s="578"/>
      <c r="C22" s="575"/>
      <c r="D22" s="576"/>
      <c r="E22" s="577"/>
      <c r="F22" s="577"/>
      <c r="G22" s="577"/>
      <c r="H22" s="577"/>
      <c r="I22" s="577"/>
      <c r="J22" s="577"/>
      <c r="K22" s="577"/>
    </row>
    <row r="23" spans="1:15" s="272" customFormat="1" ht="25.5" customHeight="1">
      <c r="B23" s="984" t="s">
        <v>213</v>
      </c>
      <c r="C23" s="1055" t="str">
        <f>IF('Język - Language'!$B$30="Polski","PAKIET","PACKAGE")</f>
        <v>PAKIET</v>
      </c>
      <c r="D23" s="1059" t="str">
        <f>IF('Język - Language'!$B$30="Polski","MIEJSCE EMISJI","PLACE OF EMISSION")</f>
        <v>MIEJSCE EMISJI</v>
      </c>
      <c r="E23" s="1037" t="str">
        <f>IF('Język - Language'!$B$30="Polski","InStream Video Ad CPM, Instream Video Skip Ad CPM (cena RC)","INSTREAM VIDEO AD CPM, PREROLL SKIP AD CPM (Rate Card)")</f>
        <v>InStream Video Ad CPM, Instream Video Skip Ad CPM (cena RC)</v>
      </c>
      <c r="F23" s="1038"/>
      <c r="G23" s="1039"/>
      <c r="H23" s="235" t="str">
        <f>IF('Język - Language'!$B$30="Polski","Instream Audio Ad OPEN.FM (cena RC)","INSTREAM AUDIO AD OPEN.FM (cena RC)")</f>
        <v>Instream Audio Ad OPEN.FM (cena RC)</v>
      </c>
      <c r="I23" s="583" t="s">
        <v>293</v>
      </c>
      <c r="J23" s="270"/>
      <c r="K23" s="270"/>
      <c r="L23" s="289"/>
    </row>
    <row r="24" spans="1:15" s="272" customFormat="1" ht="25.5" customHeight="1">
      <c r="B24" s="984"/>
      <c r="C24" s="1061"/>
      <c r="D24" s="1062"/>
      <c r="E24" s="1037" t="str">
        <f>IF('Język - Language'!$B$30="Polski","rozliczenie CPM za rozpoczęte odtworzenia, wg statystyk wewnętrznych WPM²","CPM settlement for started video playbacks, according to internal statistics of WPM²")</f>
        <v>rozliczenie CPM za rozpoczęte odtworzenia, wg statystyk wewnętrznych WPM²</v>
      </c>
      <c r="F24" s="1038"/>
      <c r="G24" s="1039"/>
      <c r="H24" s="581"/>
      <c r="I24" s="582"/>
      <c r="J24" s="574"/>
      <c r="L24" s="289"/>
    </row>
    <row r="25" spans="1:15" s="272" customFormat="1" ht="25.5" customHeight="1">
      <c r="B25" s="984"/>
      <c r="C25" s="1056"/>
      <c r="D25" s="1060"/>
      <c r="E25" s="254" t="s">
        <v>68</v>
      </c>
      <c r="F25" s="252" t="str">
        <f>IF('Język - Language'!$B$30="Polski",CONCATENATE("30",CHAR(34)," i dłuższy³"),CONCATENATE("30",CHAR(34)," or longer³"))</f>
        <v>30" i dłuższy³</v>
      </c>
      <c r="G25" s="252" t="s">
        <v>219</v>
      </c>
      <c r="H25" s="253" t="s">
        <v>220</v>
      </c>
      <c r="I25" s="582"/>
      <c r="J25" s="270"/>
      <c r="K25" s="270"/>
      <c r="L25" s="289"/>
    </row>
    <row r="26" spans="1:15" s="272" customFormat="1" ht="42" customHeight="1">
      <c r="B26" s="984"/>
      <c r="C26" s="255" t="s">
        <v>112</v>
      </c>
      <c r="D26" s="280" t="str">
        <f>IF('Język - Language'!$B$30="Polski","WPM Zasięg (bez stron głównych o2 i WP oraz bez serwisów pocztowych)","WPM Reach (without o2 HP, WP HP and e-mail services)")</f>
        <v>WPM Zasięg (bez stron głównych o2 i WP oraz bez serwisów pocztowych)</v>
      </c>
      <c r="E26" s="686" t="s">
        <v>55</v>
      </c>
      <c r="F26" s="687" t="s">
        <v>55</v>
      </c>
      <c r="G26" s="580">
        <v>155</v>
      </c>
      <c r="H26" s="684" t="s">
        <v>55</v>
      </c>
      <c r="I26" s="530">
        <v>80</v>
      </c>
      <c r="J26" s="270"/>
      <c r="K26" s="270"/>
      <c r="L26" s="574"/>
    </row>
    <row r="27" spans="1:15" s="272" customFormat="1" ht="42" customHeight="1">
      <c r="B27" s="984"/>
      <c r="C27" s="579" t="s">
        <v>211</v>
      </c>
      <c r="D27" s="531" t="s">
        <v>212</v>
      </c>
      <c r="E27" s="573">
        <v>110</v>
      </c>
      <c r="F27" s="662">
        <v>165</v>
      </c>
      <c r="G27" s="688" t="s">
        <v>55</v>
      </c>
      <c r="H27" s="1044" t="s">
        <v>55</v>
      </c>
      <c r="I27" s="1045"/>
      <c r="J27" s="270"/>
      <c r="K27" s="270"/>
      <c r="L27" s="574"/>
    </row>
    <row r="28" spans="1:15" s="272" customFormat="1" ht="42" customHeight="1">
      <c r="B28" s="1054"/>
      <c r="C28" s="256" t="s">
        <v>143</v>
      </c>
      <c r="D28" s="532" t="s">
        <v>214</v>
      </c>
      <c r="E28" s="691" t="s">
        <v>55</v>
      </c>
      <c r="F28" s="690" t="s">
        <v>55</v>
      </c>
      <c r="G28" s="689" t="s">
        <v>55</v>
      </c>
      <c r="H28" s="633">
        <v>80</v>
      </c>
      <c r="I28" s="685" t="s">
        <v>55</v>
      </c>
      <c r="J28" s="270"/>
      <c r="K28" s="270"/>
      <c r="L28" s="574"/>
    </row>
    <row r="29" spans="1:15">
      <c r="B29" s="272"/>
      <c r="C29" s="237"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29" s="238"/>
      <c r="E29" s="289"/>
      <c r="F29" s="289"/>
      <c r="G29" s="289"/>
      <c r="H29" s="289"/>
      <c r="I29" s="289"/>
      <c r="J29" s="289"/>
      <c r="K29" s="289"/>
      <c r="L29" s="236"/>
      <c r="M29" s="289"/>
      <c r="N29" s="289"/>
    </row>
    <row r="30" spans="1:15">
      <c r="B30" s="272"/>
      <c r="C30" s="289"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30" s="1"/>
      <c r="E30" s="272"/>
      <c r="G30" s="272"/>
      <c r="L30" s="272"/>
      <c r="N30" s="289"/>
    </row>
    <row r="31" spans="1:15">
      <c r="B31" s="272"/>
      <c r="C31" s="289" t="str">
        <f>IF('Język - Language'!$B$30="Polski",CONCATENATE("³ InStream Video Ad 30",CHAR(34),"+ tylko w modelu Skip Ad"),CONCATENATE("³ InStream Video Ad 30",CHAR(34),"+ only for Skip Ad"))</f>
        <v>³ InStream Video Ad 30"+ tylko w modelu Skip Ad</v>
      </c>
      <c r="D31" s="272"/>
      <c r="E31" s="272"/>
      <c r="G31" s="272"/>
      <c r="L31" s="272"/>
      <c r="N31" s="272"/>
    </row>
    <row r="32" spans="1:15">
      <c r="B32" s="272"/>
      <c r="C32" s="190" t="s">
        <v>216</v>
      </c>
      <c r="D32" s="272"/>
      <c r="E32" s="272"/>
      <c r="G32" s="272"/>
      <c r="L32" s="272"/>
      <c r="N32" s="272"/>
    </row>
    <row r="33" spans="1:14" s="272" customFormat="1">
      <c r="C33" s="190" t="s">
        <v>258</v>
      </c>
    </row>
    <row r="34" spans="1:14" s="272" customFormat="1">
      <c r="C34" s="190" t="s">
        <v>288</v>
      </c>
    </row>
    <row r="35" spans="1:14" s="272" customFormat="1">
      <c r="C35" s="190" t="s">
        <v>289</v>
      </c>
    </row>
    <row r="36" spans="1:14" s="272" customFormat="1">
      <c r="C36" s="190" t="s">
        <v>290</v>
      </c>
    </row>
    <row r="37" spans="1:14" s="272" customFormat="1">
      <c r="C37" s="190"/>
    </row>
    <row r="38" spans="1:14">
      <c r="B38" s="272"/>
      <c r="C38" s="292" t="s">
        <v>222</v>
      </c>
      <c r="D38" s="272"/>
      <c r="E38" s="272"/>
      <c r="G38" s="272"/>
      <c r="L38" s="272"/>
      <c r="N38" s="272"/>
    </row>
    <row r="39" spans="1:14">
      <c r="B39" s="272"/>
      <c r="C39" s="292" t="s">
        <v>223</v>
      </c>
      <c r="D39" s="272"/>
      <c r="E39" s="272"/>
      <c r="G39" s="272"/>
      <c r="L39" s="272"/>
      <c r="N39" s="272"/>
    </row>
    <row r="40" spans="1:14" ht="15">
      <c r="B40" s="272"/>
      <c r="C40" s="272"/>
      <c r="D40" s="350"/>
      <c r="E40" s="272"/>
      <c r="G40" s="272"/>
      <c r="L40" s="272"/>
      <c r="N40" s="272"/>
    </row>
    <row r="41" spans="1:14">
      <c r="A41" s="572"/>
      <c r="B41" s="272"/>
      <c r="C41" s="272"/>
      <c r="D41" s="272"/>
      <c r="E41" s="272"/>
      <c r="G41" s="272"/>
      <c r="L41" s="272"/>
      <c r="N41" s="272"/>
    </row>
    <row r="42" spans="1:14">
      <c r="B42" s="272"/>
      <c r="C42" s="272"/>
      <c r="D42" s="272"/>
      <c r="E42" s="272"/>
      <c r="G42" s="272"/>
      <c r="L42" s="272"/>
      <c r="N42" s="272"/>
    </row>
    <row r="43" spans="1:14">
      <c r="B43" s="272"/>
      <c r="C43" s="272"/>
      <c r="D43" s="272"/>
      <c r="E43" s="272"/>
      <c r="G43" s="272"/>
      <c r="L43" s="272"/>
      <c r="N43" s="272"/>
    </row>
    <row r="44" spans="1:14">
      <c r="C44" s="272"/>
      <c r="D44" s="272"/>
      <c r="E44" s="272"/>
      <c r="G44" s="272"/>
      <c r="L44" s="272"/>
    </row>
    <row r="45" spans="1:14">
      <c r="C45" s="272"/>
      <c r="D45" s="272"/>
      <c r="E45" s="272"/>
      <c r="G45" s="272"/>
      <c r="L45" s="272"/>
    </row>
    <row r="46" spans="1:14">
      <c r="C46" s="272"/>
      <c r="D46" s="272"/>
      <c r="E46" s="272"/>
      <c r="G46" s="272"/>
      <c r="L46" s="272"/>
    </row>
    <row r="47" spans="1:14">
      <c r="C47" s="272"/>
      <c r="D47" s="272"/>
      <c r="E47" s="272"/>
      <c r="G47" s="272"/>
      <c r="L47" s="272"/>
    </row>
    <row r="48" spans="1:14">
      <c r="C48" s="272"/>
      <c r="D48" s="272"/>
      <c r="E48" s="272"/>
      <c r="G48" s="272"/>
      <c r="L48" s="272"/>
    </row>
    <row r="49" spans="3:12">
      <c r="C49" s="272"/>
      <c r="D49" s="272"/>
      <c r="E49" s="272"/>
      <c r="G49" s="272"/>
      <c r="L49" s="272"/>
    </row>
    <row r="50" spans="3:12">
      <c r="C50" s="272"/>
      <c r="D50" s="272"/>
      <c r="E50" s="272"/>
      <c r="G50" s="272"/>
      <c r="L50" s="272"/>
    </row>
    <row r="51" spans="3:12">
      <c r="C51" s="272"/>
      <c r="D51" s="272"/>
      <c r="E51" s="272"/>
      <c r="G51" s="272"/>
      <c r="L51" s="272"/>
    </row>
    <row r="52" spans="3:12">
      <c r="C52" s="272"/>
      <c r="D52" s="272"/>
      <c r="E52" s="272"/>
      <c r="G52" s="272"/>
      <c r="L52" s="272"/>
    </row>
    <row r="53" spans="3:12">
      <c r="C53" s="272"/>
      <c r="D53" s="272"/>
      <c r="E53" s="272"/>
      <c r="G53" s="272"/>
      <c r="L53" s="272"/>
    </row>
    <row r="54" spans="3:12">
      <c r="C54" s="272"/>
      <c r="D54" s="272"/>
      <c r="E54" s="272"/>
      <c r="G54" s="272"/>
      <c r="L54" s="272"/>
    </row>
    <row r="55" spans="3:12">
      <c r="C55" s="272"/>
      <c r="D55" s="272"/>
      <c r="E55" s="272"/>
      <c r="G55" s="272"/>
      <c r="L55" s="272"/>
    </row>
    <row r="56" spans="3:12">
      <c r="C56" s="272"/>
      <c r="D56" s="272"/>
      <c r="E56" s="272"/>
      <c r="G56" s="272"/>
      <c r="L56" s="272"/>
    </row>
    <row r="57" spans="3:12">
      <c r="C57" s="272"/>
      <c r="D57" s="272"/>
      <c r="E57" s="272"/>
      <c r="G57" s="272"/>
      <c r="L57" s="272"/>
    </row>
    <row r="58" spans="3:12">
      <c r="C58" s="272"/>
      <c r="D58" s="272"/>
      <c r="E58" s="272"/>
      <c r="G58" s="272"/>
      <c r="L58" s="272"/>
    </row>
    <row r="59" spans="3:12">
      <c r="C59" s="272"/>
      <c r="D59" s="272"/>
      <c r="E59" s="272"/>
      <c r="G59" s="272"/>
      <c r="L59" s="272"/>
    </row>
    <row r="60" spans="3:12">
      <c r="C60" s="272"/>
      <c r="D60" s="272"/>
      <c r="E60" s="272"/>
      <c r="G60" s="272"/>
      <c r="L60" s="272"/>
    </row>
    <row r="61" spans="3:12">
      <c r="C61" s="272"/>
      <c r="D61" s="272"/>
      <c r="E61" s="272"/>
      <c r="G61" s="272"/>
      <c r="L61" s="272"/>
    </row>
    <row r="62" spans="3:12">
      <c r="C62" s="272"/>
      <c r="D62" s="272"/>
      <c r="E62" s="272"/>
      <c r="G62" s="272"/>
      <c r="L62" s="272"/>
    </row>
    <row r="63" spans="3:12">
      <c r="C63" s="272"/>
      <c r="D63" s="272"/>
      <c r="E63" s="272"/>
      <c r="G63" s="272"/>
      <c r="L63" s="272"/>
    </row>
    <row r="64" spans="3:12">
      <c r="C64" s="272"/>
      <c r="D64" s="272"/>
      <c r="E64" s="272"/>
      <c r="G64" s="272"/>
      <c r="L64" s="272"/>
    </row>
    <row r="65" spans="3:12">
      <c r="C65" s="272"/>
      <c r="D65" s="272"/>
      <c r="E65" s="272"/>
      <c r="G65" s="272"/>
      <c r="L65" s="272"/>
    </row>
    <row r="66" spans="3:12">
      <c r="C66" s="272"/>
      <c r="D66" s="272"/>
      <c r="E66" s="272"/>
      <c r="G66" s="272"/>
      <c r="L66" s="272"/>
    </row>
    <row r="67" spans="3:12">
      <c r="C67" s="272"/>
      <c r="D67" s="272"/>
      <c r="E67" s="272"/>
      <c r="G67" s="272"/>
      <c r="L67" s="272"/>
    </row>
    <row r="68" spans="3:12">
      <c r="C68" s="272"/>
      <c r="D68" s="272"/>
      <c r="E68" s="272"/>
      <c r="G68" s="272"/>
      <c r="L68" s="272"/>
    </row>
    <row r="69" spans="3:12">
      <c r="C69" s="272"/>
      <c r="D69" s="272"/>
      <c r="E69" s="272"/>
      <c r="G69" s="272"/>
      <c r="L69" s="272"/>
    </row>
    <row r="70" spans="3:12">
      <c r="C70" s="272"/>
      <c r="D70" s="272"/>
      <c r="E70" s="272"/>
      <c r="G70" s="272"/>
      <c r="L70" s="272"/>
    </row>
    <row r="71" spans="3:12">
      <c r="C71" s="272"/>
      <c r="D71" s="272"/>
      <c r="E71" s="272"/>
      <c r="G71" s="272"/>
      <c r="L71" s="272"/>
    </row>
    <row r="72" spans="3:12">
      <c r="C72" s="272"/>
      <c r="D72" s="272"/>
      <c r="E72" s="272"/>
      <c r="G72" s="272"/>
      <c r="L72" s="272"/>
    </row>
    <row r="73" spans="3:12">
      <c r="C73" s="272"/>
      <c r="D73" s="272"/>
      <c r="E73" s="272"/>
      <c r="G73" s="272"/>
      <c r="L73" s="272"/>
    </row>
    <row r="74" spans="3:12">
      <c r="C74" s="272"/>
      <c r="D74" s="272"/>
      <c r="E74" s="272"/>
      <c r="G74" s="272"/>
      <c r="L74" s="272"/>
    </row>
    <row r="75" spans="3:12">
      <c r="C75" s="272"/>
      <c r="D75" s="272"/>
      <c r="E75" s="272"/>
      <c r="G75" s="272"/>
      <c r="L75" s="272"/>
    </row>
    <row r="76" spans="3:12">
      <c r="C76" s="272"/>
      <c r="D76" s="272"/>
      <c r="E76" s="272"/>
      <c r="G76" s="272"/>
      <c r="L76" s="272"/>
    </row>
    <row r="77" spans="3:12">
      <c r="C77" s="272"/>
      <c r="D77" s="272"/>
      <c r="E77" s="272"/>
      <c r="G77" s="272"/>
      <c r="L77" s="272"/>
    </row>
    <row r="78" spans="3:12">
      <c r="C78" s="272"/>
      <c r="D78" s="272"/>
      <c r="E78" s="272"/>
      <c r="G78" s="272"/>
      <c r="L78" s="272"/>
    </row>
    <row r="79" spans="3:12">
      <c r="C79" s="272"/>
      <c r="D79" s="272"/>
      <c r="E79" s="272"/>
      <c r="G79" s="272"/>
      <c r="L79" s="272"/>
    </row>
    <row r="80" spans="3:12">
      <c r="C80" s="272"/>
      <c r="D80" s="272"/>
      <c r="E80" s="272"/>
      <c r="G80" s="272"/>
      <c r="L80" s="272"/>
    </row>
    <row r="81" spans="3:12">
      <c r="C81" s="272"/>
      <c r="D81" s="272"/>
      <c r="E81" s="272"/>
      <c r="G81" s="272"/>
      <c r="L81" s="272"/>
    </row>
    <row r="82" spans="3:12">
      <c r="C82" s="272"/>
      <c r="D82" s="272"/>
      <c r="E82" s="272"/>
      <c r="G82" s="272"/>
      <c r="L82" s="272"/>
    </row>
    <row r="83" spans="3:12">
      <c r="C83" s="272"/>
      <c r="D83" s="272"/>
      <c r="E83" s="272"/>
      <c r="G83" s="272"/>
      <c r="L83" s="272"/>
    </row>
    <row r="84" spans="3:12">
      <c r="C84" s="272"/>
      <c r="D84" s="272"/>
      <c r="E84" s="272"/>
      <c r="G84" s="272"/>
      <c r="L84" s="272"/>
    </row>
    <row r="85" spans="3:12">
      <c r="C85" s="272"/>
      <c r="D85" s="272"/>
      <c r="E85" s="272"/>
      <c r="G85" s="272"/>
      <c r="L85" s="272"/>
    </row>
    <row r="86" spans="3:12">
      <c r="C86" s="272"/>
      <c r="D86" s="272"/>
      <c r="E86" s="272"/>
      <c r="G86" s="272"/>
      <c r="L86" s="272"/>
    </row>
    <row r="87" spans="3:12">
      <c r="C87" s="272"/>
      <c r="D87" s="272"/>
      <c r="E87" s="272"/>
      <c r="G87" s="272"/>
      <c r="L87" s="272"/>
    </row>
    <row r="88" spans="3:12">
      <c r="C88" s="272"/>
      <c r="D88" s="272"/>
      <c r="E88" s="272"/>
      <c r="G88" s="272"/>
      <c r="L88" s="272"/>
    </row>
    <row r="89" spans="3:12">
      <c r="C89" s="272"/>
      <c r="D89" s="272"/>
      <c r="E89" s="272"/>
      <c r="G89" s="272"/>
      <c r="L89" s="272"/>
    </row>
    <row r="90" spans="3:12">
      <c r="C90" s="272"/>
      <c r="D90" s="272"/>
      <c r="E90" s="272"/>
      <c r="G90" s="272"/>
      <c r="L90" s="272"/>
    </row>
    <row r="91" spans="3:12">
      <c r="C91" s="272"/>
      <c r="D91" s="272"/>
      <c r="E91" s="272"/>
      <c r="G91" s="272"/>
      <c r="L91" s="272"/>
    </row>
    <row r="92" spans="3:12">
      <c r="C92" s="272"/>
      <c r="D92" s="272"/>
      <c r="E92" s="272"/>
      <c r="G92" s="272"/>
      <c r="L92" s="272"/>
    </row>
    <row r="93" spans="3:12">
      <c r="C93" s="272"/>
      <c r="D93" s="272"/>
      <c r="E93" s="272"/>
      <c r="G93" s="272"/>
      <c r="L93" s="272"/>
    </row>
    <row r="94" spans="3:12">
      <c r="C94" s="272"/>
      <c r="D94" s="272"/>
      <c r="E94" s="272"/>
      <c r="G94" s="272"/>
      <c r="L94" s="272"/>
    </row>
    <row r="95" spans="3:12">
      <c r="C95" s="272"/>
      <c r="D95" s="272"/>
      <c r="E95" s="272"/>
      <c r="G95" s="272"/>
      <c r="L95" s="272"/>
    </row>
    <row r="96" spans="3:12">
      <c r="C96" s="272"/>
      <c r="D96" s="272"/>
      <c r="E96" s="272"/>
      <c r="G96" s="272"/>
      <c r="L96" s="272"/>
    </row>
    <row r="97" spans="3:12">
      <c r="C97" s="272"/>
      <c r="D97" s="272"/>
      <c r="E97" s="272"/>
      <c r="G97" s="272"/>
      <c r="L97" s="272"/>
    </row>
    <row r="98" spans="3:12">
      <c r="C98" s="272"/>
      <c r="D98" s="272"/>
      <c r="E98" s="272"/>
      <c r="G98" s="272"/>
      <c r="L98" s="272"/>
    </row>
    <row r="99" spans="3:12">
      <c r="C99" s="272"/>
      <c r="D99" s="272"/>
      <c r="E99" s="272"/>
      <c r="G99" s="272"/>
      <c r="L99" s="272"/>
    </row>
    <row r="100" spans="3:12">
      <c r="C100" s="272"/>
      <c r="D100" s="272"/>
      <c r="E100" s="272"/>
      <c r="G100" s="272"/>
      <c r="L100" s="272"/>
    </row>
    <row r="101" spans="3:12">
      <c r="C101" s="272"/>
      <c r="D101" s="272"/>
      <c r="E101" s="272"/>
      <c r="G101" s="272"/>
      <c r="L101" s="272"/>
    </row>
    <row r="102" spans="3:12">
      <c r="C102" s="272"/>
      <c r="D102" s="272"/>
      <c r="E102" s="272"/>
      <c r="G102" s="272"/>
      <c r="L102" s="272"/>
    </row>
    <row r="103" spans="3:12">
      <c r="C103" s="272"/>
      <c r="D103" s="272"/>
      <c r="E103" s="272"/>
      <c r="G103" s="272"/>
      <c r="L103" s="272"/>
    </row>
    <row r="104" spans="3:12">
      <c r="C104" s="272"/>
      <c r="D104" s="272"/>
      <c r="E104" s="272"/>
      <c r="G104" s="272"/>
      <c r="L104" s="272"/>
    </row>
    <row r="105" spans="3:12">
      <c r="C105" s="272"/>
      <c r="D105" s="272"/>
      <c r="E105" s="272"/>
      <c r="G105" s="272"/>
      <c r="L105" s="272"/>
    </row>
    <row r="106" spans="3:12">
      <c r="C106" s="272"/>
      <c r="D106" s="272"/>
      <c r="E106" s="272"/>
      <c r="G106" s="272"/>
      <c r="L106" s="272"/>
    </row>
    <row r="107" spans="3:12">
      <c r="C107" s="272"/>
      <c r="D107" s="272"/>
      <c r="E107" s="272"/>
      <c r="G107" s="272"/>
      <c r="L107" s="272"/>
    </row>
    <row r="108" spans="3:12">
      <c r="C108" s="272"/>
      <c r="D108" s="272"/>
      <c r="E108" s="272"/>
      <c r="G108" s="272"/>
      <c r="L108" s="272"/>
    </row>
    <row r="109" spans="3:12">
      <c r="C109" s="272"/>
      <c r="D109" s="272"/>
      <c r="E109" s="272"/>
      <c r="G109" s="272"/>
      <c r="L109" s="272"/>
    </row>
    <row r="110" spans="3:12">
      <c r="C110" s="272"/>
      <c r="D110" s="272"/>
      <c r="E110" s="272"/>
      <c r="G110" s="272"/>
      <c r="L110" s="272"/>
    </row>
    <row r="111" spans="3:12">
      <c r="C111" s="272"/>
      <c r="D111" s="272"/>
      <c r="E111" s="272"/>
      <c r="G111" s="272"/>
      <c r="L111" s="272"/>
    </row>
    <row r="112" spans="3:12">
      <c r="C112" s="272"/>
      <c r="D112" s="272"/>
      <c r="E112" s="272"/>
      <c r="G112" s="272"/>
      <c r="L112" s="272"/>
    </row>
    <row r="113" spans="3:12">
      <c r="C113" s="272"/>
      <c r="D113" s="272"/>
      <c r="E113" s="272"/>
      <c r="G113" s="272"/>
      <c r="L113" s="272"/>
    </row>
    <row r="114" spans="3:12">
      <c r="C114" s="272"/>
      <c r="D114" s="272"/>
      <c r="E114" s="272"/>
      <c r="G114" s="272"/>
      <c r="L114" s="272"/>
    </row>
    <row r="115" spans="3:12">
      <c r="C115" s="272"/>
      <c r="D115" s="272"/>
      <c r="E115" s="272"/>
      <c r="G115" s="272"/>
      <c r="L115" s="272"/>
    </row>
    <row r="116" spans="3:12">
      <c r="C116" s="272"/>
      <c r="D116" s="272"/>
      <c r="E116" s="272"/>
      <c r="G116" s="272"/>
      <c r="L116" s="272"/>
    </row>
    <row r="117" spans="3:12">
      <c r="C117" s="272"/>
      <c r="D117" s="272"/>
      <c r="E117" s="272"/>
      <c r="G117" s="272"/>
      <c r="L117" s="272"/>
    </row>
    <row r="118" spans="3:12">
      <c r="C118" s="272"/>
      <c r="D118" s="272"/>
      <c r="E118" s="272"/>
      <c r="G118" s="272"/>
      <c r="L118" s="272"/>
    </row>
    <row r="119" spans="3:12">
      <c r="C119" s="272"/>
      <c r="D119" s="272"/>
      <c r="E119" s="272"/>
      <c r="G119" s="272"/>
      <c r="L119" s="272"/>
    </row>
  </sheetData>
  <mergeCells count="34">
    <mergeCell ref="B23:B28"/>
    <mergeCell ref="C7:C8"/>
    <mergeCell ref="E7:G7"/>
    <mergeCell ref="D7:D8"/>
    <mergeCell ref="B9:B21"/>
    <mergeCell ref="C23:C25"/>
    <mergeCell ref="D23:D25"/>
    <mergeCell ref="E24:G24"/>
    <mergeCell ref="E12:E16"/>
    <mergeCell ref="F12:F16"/>
    <mergeCell ref="G12:G16"/>
    <mergeCell ref="E18:E21"/>
    <mergeCell ref="F18:F21"/>
    <mergeCell ref="H27:I27"/>
    <mergeCell ref="H7:I7"/>
    <mergeCell ref="H9:H17"/>
    <mergeCell ref="I9:I17"/>
    <mergeCell ref="H19:H21"/>
    <mergeCell ref="I19:I21"/>
    <mergeCell ref="O10:O17"/>
    <mergeCell ref="N19:N21"/>
    <mergeCell ref="G18:G21"/>
    <mergeCell ref="E23:G23"/>
    <mergeCell ref="K1:O3"/>
    <mergeCell ref="M7:O7"/>
    <mergeCell ref="K10:K17"/>
    <mergeCell ref="L10:L17"/>
    <mergeCell ref="K19:K21"/>
    <mergeCell ref="L19:L21"/>
    <mergeCell ref="M10:M21"/>
    <mergeCell ref="N10:N17"/>
    <mergeCell ref="O19:O21"/>
    <mergeCell ref="J7:L7"/>
    <mergeCell ref="J10:J21"/>
  </mergeCells>
  <pageMargins left="0.7" right="0.7" top="0.75" bottom="0.75" header="0.3" footer="0.3"/>
  <pageSetup paperSize="2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R31"/>
  <sheetViews>
    <sheetView zoomScaleNormal="100" workbookViewId="0">
      <pane ySplit="4" topLeftCell="A5" activePane="bottomLeft" state="frozen"/>
      <selection pane="bottomLeft"/>
    </sheetView>
  </sheetViews>
  <sheetFormatPr defaultColWidth="25" defaultRowHeight="12.75"/>
  <cols>
    <col min="1" max="1" width="5.5703125" style="2" customWidth="1"/>
    <col min="2" max="2" width="28.42578125" style="2" customWidth="1"/>
    <col min="3" max="3" width="20" style="2" customWidth="1"/>
    <col min="4" max="4" width="20" style="232" customWidth="1"/>
    <col min="5" max="9" width="20" style="2" customWidth="1"/>
    <col min="10" max="10" width="14.42578125" style="2" customWidth="1"/>
    <col min="11" max="16384" width="25" style="2"/>
  </cols>
  <sheetData>
    <row r="1" spans="1:18" ht="12.75" customHeight="1">
      <c r="A1" s="272"/>
      <c r="B1" s="272"/>
      <c r="D1" s="274"/>
      <c r="E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697"/>
      <c r="G1" s="697"/>
      <c r="H1" s="697"/>
    </row>
    <row r="2" spans="1:18" ht="12.75" customHeight="1">
      <c r="A2" s="272"/>
      <c r="B2" s="272"/>
      <c r="C2" s="274"/>
      <c r="D2" s="274"/>
      <c r="E2" s="697"/>
      <c r="F2" s="697"/>
      <c r="G2" s="697"/>
      <c r="H2" s="697"/>
    </row>
    <row r="3" spans="1:18" ht="12.75" customHeight="1">
      <c r="A3" s="272"/>
      <c r="B3" s="272"/>
      <c r="C3" s="274"/>
      <c r="D3" s="274"/>
      <c r="E3" s="697"/>
      <c r="F3" s="697"/>
      <c r="G3" s="697"/>
      <c r="H3" s="697"/>
    </row>
    <row r="4" spans="1:18" s="34" customFormat="1" ht="12.75" customHeight="1">
      <c r="A4" s="275"/>
      <c r="B4" s="35" t="str">
        <f>IF('Język - Language'!$B$30="Polski","            Poczta - Mailing reklamowy, emisje stałe","            Email service - Advertising mailing, flat fee emissions")</f>
        <v xml:space="preserve">            Poczta - Mailing reklamowy, emisje stałe</v>
      </c>
      <c r="C4" s="275"/>
      <c r="D4" s="275"/>
      <c r="E4" s="275"/>
      <c r="F4" s="275"/>
      <c r="G4" s="461"/>
      <c r="H4" s="269" t="str">
        <f>IF('Język - Language'!$B$30="Polski","PL","EN")</f>
        <v>PL</v>
      </c>
    </row>
    <row r="5" spans="1:18" ht="12.75" customHeight="1">
      <c r="A5" s="272"/>
      <c r="B5" s="272"/>
      <c r="C5" s="272"/>
      <c r="D5" s="272"/>
      <c r="E5" s="272"/>
      <c r="F5" s="272"/>
      <c r="G5" s="272"/>
      <c r="H5" s="272"/>
    </row>
    <row r="6" spans="1:18" ht="12.75" customHeight="1">
      <c r="A6" s="272"/>
      <c r="B6" s="270"/>
      <c r="C6" s="270"/>
      <c r="D6" s="270"/>
      <c r="E6" s="270"/>
      <c r="F6" s="270"/>
      <c r="G6" s="270"/>
      <c r="H6" s="272"/>
    </row>
    <row r="7" spans="1:18" ht="12.75" customHeight="1">
      <c r="A7" s="270"/>
      <c r="B7" s="969" t="str">
        <f>IF('Język - Language'!$B$30="Polski","MIEJSCE EMISJI","PLACE OF EMISSION")</f>
        <v>MIEJSCE EMISJI</v>
      </c>
      <c r="C7" s="809" t="str">
        <f>IF('Język - Language'!$B$30="Polski","FORMAT GRAFICZNY","ADVERTISING FORMAT
")</f>
        <v>FORMAT GRAFICZNY</v>
      </c>
      <c r="D7" s="303"/>
      <c r="E7" s="1070" t="s">
        <v>53</v>
      </c>
      <c r="F7" s="1070"/>
      <c r="G7" s="1070" t="s">
        <v>54</v>
      </c>
      <c r="H7" s="1071"/>
      <c r="I7" s="272"/>
    </row>
    <row r="8" spans="1:18" ht="12.75" customHeight="1">
      <c r="A8" s="270"/>
      <c r="B8" s="969"/>
      <c r="C8" s="809"/>
      <c r="D8" s="303"/>
      <c r="E8" s="322" t="str">
        <f>IF('Język - Language'!$B$30="Polski","DZIEŃ","DAY")</f>
        <v>DZIEŃ</v>
      </c>
      <c r="F8" s="303" t="str">
        <f>IF('Język - Language'!$B$30="Polski","TYDZIEŃ","WEEK")</f>
        <v>TYDZIEŃ</v>
      </c>
      <c r="G8" s="369" t="s">
        <v>121</v>
      </c>
      <c r="H8" s="323" t="str">
        <f>IF('Język - Language'!$B$30="Polski","TYDZIEŃ","WEEK")</f>
        <v>TYDZIEŃ</v>
      </c>
      <c r="I8" s="50"/>
    </row>
    <row r="9" spans="1:18" ht="25.5" customHeight="1">
      <c r="A9" s="272"/>
      <c r="B9" s="919" t="str">
        <f>IF('Język - Language'!$B$30="Polski","Strona logowania Poczty","Logging in")</f>
        <v>Strona logowania Poczty</v>
      </c>
      <c r="C9" s="801" t="str">
        <f>IF('Język - Language'!$B$30="Polski","Login Box","Login Box")</f>
        <v>Login Box</v>
      </c>
      <c r="D9" s="803"/>
      <c r="E9" s="278" t="s">
        <v>55</v>
      </c>
      <c r="F9" s="278">
        <v>350000</v>
      </c>
      <c r="G9" s="278" t="s">
        <v>55</v>
      </c>
      <c r="H9" s="215">
        <v>100000</v>
      </c>
      <c r="I9" s="272"/>
    </row>
    <row r="10" spans="1:18" s="48" customFormat="1" ht="25.5" customHeight="1">
      <c r="A10" s="272"/>
      <c r="B10" s="919"/>
      <c r="C10" s="766" t="str">
        <f>IF('Język - Language'!$B$30="Polski","Full Page Login Box","Full Page Login Box")</f>
        <v>Full Page Login Box</v>
      </c>
      <c r="D10" s="768"/>
      <c r="E10" s="216" t="s">
        <v>55</v>
      </c>
      <c r="F10" s="217">
        <v>615000</v>
      </c>
      <c r="G10" s="217" t="s">
        <v>55</v>
      </c>
      <c r="H10" s="218">
        <v>150000</v>
      </c>
      <c r="I10" s="272"/>
    </row>
    <row r="11" spans="1:18" s="48" customFormat="1" ht="25.5" customHeight="1">
      <c r="A11" s="272"/>
      <c r="B11" s="919"/>
      <c r="C11" s="766" t="str">
        <f>IF('Język - Language'!$B$30="Polski","Mobile Login Box","Mobile Login Box")</f>
        <v>Mobile Login Box</v>
      </c>
      <c r="D11" s="768"/>
      <c r="E11" s="216" t="s">
        <v>55</v>
      </c>
      <c r="F11" s="278">
        <v>240000</v>
      </c>
      <c r="G11" s="278" t="s">
        <v>55</v>
      </c>
      <c r="H11" s="180">
        <v>70000</v>
      </c>
      <c r="I11" s="272"/>
    </row>
    <row r="12" spans="1:18" s="272" customFormat="1" ht="12.75" customHeight="1">
      <c r="B12" s="911" t="str">
        <f>IF('Język - Language'!$B$30="Polski","Interfejs Poczty","Email service interface")</f>
        <v>Interfejs Poczty</v>
      </c>
      <c r="C12" s="1078" t="s">
        <v>201</v>
      </c>
      <c r="D12" s="507" t="s">
        <v>119</v>
      </c>
      <c r="E12" s="393" t="s">
        <v>55</v>
      </c>
      <c r="F12" s="506">
        <v>190000</v>
      </c>
      <c r="G12" s="506" t="s">
        <v>55</v>
      </c>
      <c r="H12" s="1069">
        <v>80000</v>
      </c>
    </row>
    <row r="13" spans="1:18" s="272" customFormat="1" ht="12.75" customHeight="1">
      <c r="B13" s="919"/>
      <c r="C13" s="828"/>
      <c r="D13" s="695" t="s">
        <v>120</v>
      </c>
      <c r="E13" s="221" t="s">
        <v>55</v>
      </c>
      <c r="F13" s="179">
        <v>215000</v>
      </c>
      <c r="G13" s="179" t="s">
        <v>55</v>
      </c>
      <c r="H13" s="824"/>
      <c r="I13" s="696"/>
    </row>
    <row r="14" spans="1:18" s="272" customFormat="1" ht="25.5" customHeight="1">
      <c r="B14" s="919"/>
      <c r="C14" s="692" t="s">
        <v>308</v>
      </c>
      <c r="D14" s="695"/>
      <c r="E14" s="217" t="s">
        <v>55</v>
      </c>
      <c r="F14" s="180">
        <v>115000</v>
      </c>
      <c r="G14" s="180" t="s">
        <v>55</v>
      </c>
      <c r="H14" s="693">
        <v>40000</v>
      </c>
      <c r="I14" s="696"/>
    </row>
    <row r="15" spans="1:18" s="52" customFormat="1" ht="25.5" customHeight="1">
      <c r="A15" s="272"/>
      <c r="B15" s="919"/>
      <c r="C15" s="801" t="str">
        <f>IF('Język - Language'!$B$30="Polski","Double Billboard¹","Double Billboard¹")</f>
        <v>Double Billboard¹</v>
      </c>
      <c r="D15" s="802"/>
      <c r="E15" s="215">
        <v>90000</v>
      </c>
      <c r="F15" s="278">
        <v>300000</v>
      </c>
      <c r="G15" s="278" t="s">
        <v>55</v>
      </c>
      <c r="H15" s="694">
        <v>75000</v>
      </c>
      <c r="I15" s="696"/>
    </row>
    <row r="16" spans="1:18" s="52" customFormat="1" ht="25.5" customHeight="1">
      <c r="A16" s="272"/>
      <c r="B16" s="919"/>
      <c r="C16" s="1072" t="str">
        <f>IF('Język - Language'!$B$30="Polski","Panel Premium (desktop)","Panel Premium (desktop)")</f>
        <v>Panel Premium (desktop)</v>
      </c>
      <c r="D16" s="1073"/>
      <c r="E16" s="220">
        <v>110000</v>
      </c>
      <c r="F16" s="219" t="s">
        <v>55</v>
      </c>
      <c r="G16" s="219">
        <v>35000</v>
      </c>
      <c r="H16" s="219" t="s">
        <v>55</v>
      </c>
      <c r="I16" s="272"/>
      <c r="J16" s="272"/>
      <c r="K16" s="272"/>
      <c r="L16" s="272"/>
      <c r="M16" s="272"/>
      <c r="N16" s="272"/>
      <c r="O16" s="272"/>
      <c r="P16" s="272"/>
      <c r="Q16" s="272"/>
      <c r="R16" s="272"/>
    </row>
    <row r="17" spans="1:18" s="47" customFormat="1" ht="25.5" customHeight="1">
      <c r="A17" s="272"/>
      <c r="B17" s="919"/>
      <c r="C17" s="1074" t="str">
        <f>IF('Język - Language'!$B$30="Polski","Left Box 170x200 (górny)","Left Box 170x200 (upper)")</f>
        <v>Left Box 170x200 (górny)</v>
      </c>
      <c r="D17" s="1075"/>
      <c r="E17" s="215" t="s">
        <v>55</v>
      </c>
      <c r="F17" s="221">
        <v>115000</v>
      </c>
      <c r="G17" s="375" t="s">
        <v>55</v>
      </c>
      <c r="H17" s="278">
        <v>90000</v>
      </c>
      <c r="I17" s="272"/>
      <c r="J17" s="272"/>
      <c r="K17" s="272"/>
      <c r="L17" s="272"/>
      <c r="M17" s="272"/>
      <c r="N17" s="272"/>
      <c r="O17" s="272"/>
      <c r="P17" s="272"/>
      <c r="Q17" s="272"/>
      <c r="R17" s="272"/>
    </row>
    <row r="18" spans="1:18" s="47" customFormat="1" ht="25.5" customHeight="1">
      <c r="A18" s="272"/>
      <c r="B18" s="919"/>
      <c r="C18" s="766" t="str">
        <f>IF('Język - Language'!$B$30="Polski","Left Box 170x200 (dolny)","Left Box 170x200 (lower)")</f>
        <v>Left Box 170x200 (dolny)</v>
      </c>
      <c r="D18" s="768"/>
      <c r="E18" s="218" t="s">
        <v>55</v>
      </c>
      <c r="F18" s="278">
        <v>115000</v>
      </c>
      <c r="G18" s="278" t="s">
        <v>55</v>
      </c>
      <c r="H18" s="216">
        <v>90000</v>
      </c>
      <c r="I18" s="272"/>
      <c r="J18" s="272"/>
      <c r="K18" s="272"/>
      <c r="L18" s="272"/>
      <c r="M18" s="272"/>
      <c r="N18" s="272"/>
      <c r="O18" s="272"/>
      <c r="P18" s="272"/>
      <c r="Q18" s="272"/>
      <c r="R18" s="272"/>
    </row>
    <row r="19" spans="1:18" ht="25.5" customHeight="1">
      <c r="A19" s="272"/>
      <c r="B19" s="919"/>
      <c r="C19" s="766" t="s">
        <v>161</v>
      </c>
      <c r="D19" s="768"/>
      <c r="E19" s="217" t="s">
        <v>55</v>
      </c>
      <c r="F19" s="217">
        <v>300000</v>
      </c>
      <c r="G19" s="217" t="s">
        <v>55</v>
      </c>
      <c r="H19" s="217">
        <v>60000</v>
      </c>
      <c r="I19" s="272"/>
      <c r="J19" s="272"/>
      <c r="K19" s="272"/>
      <c r="L19" s="272"/>
      <c r="M19" s="272"/>
      <c r="N19" s="272"/>
      <c r="O19" s="272"/>
      <c r="P19" s="272"/>
      <c r="Q19" s="272"/>
      <c r="R19" s="272"/>
    </row>
    <row r="20" spans="1:18" s="77" customFormat="1" ht="25.5" customHeight="1">
      <c r="A20" s="272"/>
      <c r="B20" s="919"/>
      <c r="C20" s="766" t="s">
        <v>160</v>
      </c>
      <c r="D20" s="768"/>
      <c r="E20" s="217" t="s">
        <v>55</v>
      </c>
      <c r="F20" s="217">
        <v>400000</v>
      </c>
      <c r="G20" s="217" t="s">
        <v>55</v>
      </c>
      <c r="H20" s="217">
        <v>130000</v>
      </c>
      <c r="I20" s="272"/>
      <c r="J20" s="272"/>
      <c r="K20" s="272"/>
      <c r="L20" s="272"/>
      <c r="M20" s="272"/>
      <c r="N20" s="272"/>
      <c r="O20" s="272"/>
      <c r="P20" s="272"/>
      <c r="Q20" s="272"/>
      <c r="R20" s="272"/>
    </row>
    <row r="21" spans="1:18" s="44" customFormat="1" ht="25.5" customHeight="1">
      <c r="A21" s="272"/>
      <c r="B21" s="912"/>
      <c r="C21" s="1072" t="str">
        <f>IF('Język - Language'!$B$30="Polski","Rectangle (podgląd załączników)","Rectangle (in a preview of attachments)")</f>
        <v>Rectangle (podgląd załączników)</v>
      </c>
      <c r="D21" s="1079"/>
      <c r="E21" s="222" t="s">
        <v>55</v>
      </c>
      <c r="F21" s="222">
        <v>75000</v>
      </c>
      <c r="G21" s="222" t="s">
        <v>55</v>
      </c>
      <c r="H21" s="222">
        <v>40000</v>
      </c>
      <c r="I21" s="272"/>
      <c r="J21" s="272"/>
      <c r="K21" s="272"/>
      <c r="L21" s="272"/>
      <c r="M21" s="272"/>
      <c r="N21" s="272"/>
      <c r="O21" s="272"/>
      <c r="P21" s="272"/>
      <c r="Q21" s="272"/>
      <c r="R21" s="272"/>
    </row>
    <row r="22" spans="1:18" s="77" customFormat="1" ht="25.5" customHeight="1">
      <c r="A22" s="272"/>
      <c r="B22" s="194" t="str">
        <f>IF('Język - Language'!$B$30="Polski","Po wylogowaniu z Poczty","After logging out")</f>
        <v>Po wylogowaniu z Poczty</v>
      </c>
      <c r="C22" s="1076" t="s">
        <v>162</v>
      </c>
      <c r="D22" s="1077"/>
      <c r="E22" s="223" t="s">
        <v>55</v>
      </c>
      <c r="F22" s="223">
        <v>425000</v>
      </c>
      <c r="G22" s="223" t="s">
        <v>55</v>
      </c>
      <c r="H22" s="223">
        <v>200000</v>
      </c>
      <c r="I22" s="272"/>
      <c r="J22" s="272"/>
      <c r="K22" s="272"/>
      <c r="L22" s="272"/>
      <c r="M22" s="272"/>
      <c r="N22" s="272"/>
      <c r="O22" s="272"/>
      <c r="P22" s="272"/>
      <c r="Q22" s="272"/>
      <c r="R22" s="272"/>
    </row>
    <row r="23" spans="1:18" ht="12.75" customHeight="1">
      <c r="A23" s="272"/>
      <c r="B23" s="231" t="str">
        <f>IF('Język - Language'!$B$30="Polski","¹ możliwość emisji formatu 970x200, również jako Retail Dniówka, zgodnie z tabelą dopłat","¹ special Retail Daily Emission is available for 970x200 format with extra charge")</f>
        <v>¹ możliwość emisji formatu 970x200, również jako Retail Dniówka, zgodnie z tabelą dopłat</v>
      </c>
      <c r="C23" s="4"/>
      <c r="D23" s="4"/>
      <c r="E23" s="4"/>
      <c r="F23" s="4"/>
      <c r="G23" s="4"/>
      <c r="H23" s="78"/>
      <c r="I23" s="272"/>
      <c r="J23" s="272"/>
      <c r="K23" s="272"/>
      <c r="L23" s="272"/>
      <c r="M23" s="272"/>
      <c r="N23" s="272"/>
      <c r="O23" s="272"/>
      <c r="P23" s="272"/>
      <c r="Q23" s="272"/>
    </row>
    <row r="24" spans="1:18">
      <c r="A24" s="272"/>
      <c r="B24" s="49"/>
      <c r="C24" s="27"/>
      <c r="D24" s="27"/>
      <c r="E24" s="272"/>
      <c r="F24" s="272"/>
      <c r="G24" s="272"/>
      <c r="H24" s="78"/>
      <c r="I24" s="4"/>
      <c r="J24" s="272"/>
      <c r="K24" s="272"/>
      <c r="L24" s="272"/>
      <c r="M24" s="272"/>
      <c r="N24" s="272"/>
      <c r="O24" s="272"/>
      <c r="P24" s="272"/>
      <c r="Q24" s="272"/>
    </row>
    <row r="25" spans="1:18">
      <c r="A25" s="272"/>
      <c r="B25" s="272"/>
      <c r="C25" s="272"/>
      <c r="D25" s="272"/>
      <c r="E25" s="272"/>
      <c r="F25" s="21"/>
      <c r="G25" s="272"/>
      <c r="H25" s="272"/>
      <c r="I25" s="272"/>
      <c r="J25" s="272"/>
      <c r="K25" s="272"/>
      <c r="L25" s="272"/>
      <c r="M25" s="272"/>
      <c r="N25" s="272"/>
      <c r="O25" s="272"/>
      <c r="P25" s="272"/>
      <c r="Q25" s="272"/>
    </row>
    <row r="26" spans="1:18" ht="25.5" customHeight="1">
      <c r="A26" s="270"/>
      <c r="B26" s="340" t="s">
        <v>25</v>
      </c>
      <c r="C26" s="303" t="s">
        <v>56</v>
      </c>
      <c r="D26" s="305" t="s">
        <v>57</v>
      </c>
      <c r="E26" s="96"/>
      <c r="F26" s="698"/>
      <c r="G26" s="698"/>
      <c r="H26" s="698"/>
      <c r="I26" s="698"/>
      <c r="J26" s="272"/>
      <c r="K26" s="700"/>
      <c r="L26" s="700"/>
      <c r="M26" s="700"/>
      <c r="N26" s="700"/>
      <c r="O26" s="700"/>
      <c r="P26" s="700"/>
      <c r="Q26" s="272"/>
    </row>
    <row r="27" spans="1:18" ht="25.5" customHeight="1">
      <c r="A27" s="272"/>
      <c r="B27" s="187" t="str">
        <f>IF('Język - Language'!$B$30="Polski","Mailing HTML 100 kB","Mailing HTML 100 kB")</f>
        <v>Mailing HTML 100 kB</v>
      </c>
      <c r="C27" s="261">
        <v>80</v>
      </c>
      <c r="D27" s="266">
        <v>88</v>
      </c>
      <c r="E27" s="335"/>
      <c r="F27" s="699"/>
      <c r="G27" s="699"/>
      <c r="H27" s="699"/>
      <c r="I27" s="699"/>
      <c r="J27" s="270"/>
      <c r="K27" s="296"/>
      <c r="L27" s="703"/>
      <c r="M27" s="703"/>
      <c r="N27" s="703"/>
      <c r="O27" s="703"/>
      <c r="P27" s="703"/>
      <c r="Q27" s="272"/>
    </row>
    <row r="28" spans="1:18" ht="25.5" customHeight="1">
      <c r="A28" s="272"/>
      <c r="B28" s="188" t="str">
        <f>IF('Język - Language'!$B$30="Polski","Mailing interaktywny²","Interactive Mailing²")</f>
        <v>Mailing interaktywny²</v>
      </c>
      <c r="C28" s="320">
        <v>160</v>
      </c>
      <c r="D28" s="267">
        <v>176</v>
      </c>
      <c r="E28" s="295"/>
      <c r="F28" s="59"/>
      <c r="G28" s="60"/>
      <c r="H28" s="61"/>
      <c r="I28" s="61"/>
      <c r="J28" s="270"/>
      <c r="K28" s="81"/>
      <c r="L28" s="705"/>
      <c r="M28" s="705"/>
      <c r="N28" s="705"/>
      <c r="O28" s="705"/>
      <c r="P28" s="705"/>
      <c r="Q28" s="272"/>
    </row>
    <row r="29" spans="1:18" ht="25.5" customHeight="1">
      <c r="A29" s="272"/>
      <c r="B29" s="1080"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29" s="1080"/>
      <c r="D29" s="1080"/>
      <c r="E29" s="1080"/>
      <c r="F29" s="1080"/>
      <c r="G29" s="1080"/>
      <c r="H29" s="1080"/>
      <c r="I29" s="1080"/>
      <c r="J29" s="61"/>
      <c r="K29" s="270"/>
      <c r="L29" s="81"/>
      <c r="M29" s="705"/>
      <c r="N29" s="705"/>
      <c r="O29" s="705"/>
      <c r="P29" s="705"/>
      <c r="Q29" s="705"/>
    </row>
    <row r="30" spans="1:18" ht="12.75" customHeight="1">
      <c r="A30" s="272"/>
      <c r="B30" s="1080" t="str">
        <f>IF('Język - Language'!$B$30="Polski","² Minimalna wartość zamówienia to 5 000 zł NN","² Minimal order - 5 000 zł NN")</f>
        <v>² Minimalna wartość zamówienia to 5 000 zł NN</v>
      </c>
      <c r="C30" s="1080"/>
      <c r="D30" s="1080"/>
      <c r="E30" s="1080"/>
      <c r="F30" s="1080"/>
      <c r="G30" s="1080"/>
      <c r="H30" s="1080"/>
      <c r="I30" s="1080"/>
      <c r="J30" s="61"/>
      <c r="K30" s="270"/>
      <c r="L30" s="82"/>
      <c r="M30" s="708"/>
      <c r="N30" s="708"/>
      <c r="O30" s="708"/>
      <c r="P30" s="708"/>
      <c r="Q30" s="708"/>
    </row>
    <row r="31" spans="1:18" s="115" customFormat="1" ht="12.75" customHeight="1">
      <c r="A31" s="272"/>
      <c r="B31" s="299"/>
      <c r="C31" s="299"/>
      <c r="D31" s="299"/>
      <c r="E31" s="299"/>
      <c r="F31" s="299"/>
      <c r="G31" s="299"/>
      <c r="H31" s="299"/>
      <c r="I31" s="299"/>
      <c r="J31" s="61"/>
      <c r="K31" s="270"/>
      <c r="L31" s="82"/>
      <c r="M31" s="300"/>
      <c r="N31" s="300"/>
      <c r="O31" s="300"/>
      <c r="P31" s="300"/>
      <c r="Q31" s="300"/>
    </row>
  </sheetData>
  <mergeCells count="31">
    <mergeCell ref="K26:P26"/>
    <mergeCell ref="M30:Q30"/>
    <mergeCell ref="B30:I30"/>
    <mergeCell ref="L28:P28"/>
    <mergeCell ref="M29:Q29"/>
    <mergeCell ref="B29:I29"/>
    <mergeCell ref="H26:H27"/>
    <mergeCell ref="I26:I27"/>
    <mergeCell ref="L27:P27"/>
    <mergeCell ref="F26:F27"/>
    <mergeCell ref="G26:G27"/>
    <mergeCell ref="C16:D16"/>
    <mergeCell ref="C17:D17"/>
    <mergeCell ref="C22:D22"/>
    <mergeCell ref="B9:B11"/>
    <mergeCell ref="C15:D15"/>
    <mergeCell ref="B12:B21"/>
    <mergeCell ref="C12:C13"/>
    <mergeCell ref="C20:D20"/>
    <mergeCell ref="C18:D18"/>
    <mergeCell ref="C19:D19"/>
    <mergeCell ref="C21:D21"/>
    <mergeCell ref="H12:H13"/>
    <mergeCell ref="E1:H3"/>
    <mergeCell ref="G7:H7"/>
    <mergeCell ref="E7:F7"/>
    <mergeCell ref="B7:B8"/>
    <mergeCell ref="C7:C8"/>
    <mergeCell ref="C9:D9"/>
    <mergeCell ref="C10:D10"/>
    <mergeCell ref="C11:D11"/>
  </mergeCells>
  <pageMargins left="0.7" right="0.7" top="0.75" bottom="0.75" header="0.3" footer="0.3"/>
  <pageSetup paperSize="256" scale="68"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52"/>
  <sheetViews>
    <sheetView workbookViewId="0">
      <pane ySplit="4" topLeftCell="A5" activePane="bottomLeft" state="frozen"/>
      <selection pane="bottomLeft"/>
    </sheetView>
  </sheetViews>
  <sheetFormatPr defaultColWidth="9.140625" defaultRowHeight="15"/>
  <cols>
    <col min="1" max="2" width="2.85546875" style="495" customWidth="1"/>
    <col min="3" max="3" width="22.28515625" style="495" customWidth="1"/>
    <col min="4" max="9" width="20" style="495" customWidth="1"/>
    <col min="10" max="16384" width="9.140625" style="495"/>
  </cols>
  <sheetData>
    <row r="1" spans="2:12" s="272" customFormat="1" ht="12.75" customHeight="1">
      <c r="B1" s="15" t="s">
        <v>28</v>
      </c>
      <c r="C1" s="15"/>
      <c r="D1" s="15"/>
      <c r="E1" s="15"/>
      <c r="F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G1" s="697"/>
      <c r="H1" s="697"/>
      <c r="I1" s="697"/>
      <c r="J1" s="274"/>
      <c r="K1" s="74"/>
    </row>
    <row r="2" spans="2:12" s="272" customFormat="1" ht="12.75" customHeight="1">
      <c r="F2" s="697"/>
      <c r="G2" s="697"/>
      <c r="H2" s="697"/>
      <c r="I2" s="697"/>
      <c r="J2" s="274"/>
      <c r="K2" s="74"/>
    </row>
    <row r="3" spans="2:12" s="272" customFormat="1" ht="12.75" customHeight="1">
      <c r="F3" s="697"/>
      <c r="G3" s="697"/>
      <c r="H3" s="697"/>
      <c r="I3" s="697"/>
      <c r="J3" s="274"/>
      <c r="K3" s="74"/>
    </row>
    <row r="4" spans="2:12" s="275" customFormat="1" ht="12.75" customHeight="1">
      <c r="B4" s="101"/>
      <c r="C4" s="101" t="str">
        <f>IF('Język - Language'!$B$30="Polski","            Produkty Content Marketingowe","            Content Marketing")</f>
        <v xml:space="preserve">            Produkty Content Marketingowe</v>
      </c>
      <c r="D4" s="75"/>
      <c r="E4" s="75"/>
      <c r="G4" s="269" t="str">
        <f>IF('Język - Language'!$B$30="Polski","PL","EN")</f>
        <v>PL</v>
      </c>
    </row>
    <row r="5" spans="2:12" ht="12.75" customHeight="1"/>
    <row r="6" spans="2:12" ht="12.75" customHeight="1"/>
    <row r="7" spans="2:12" s="272" customFormat="1" ht="12.75">
      <c r="C7" s="292" t="s">
        <v>97</v>
      </c>
    </row>
    <row r="8" spans="2:12" s="272" customFormat="1" ht="12.75" customHeight="1">
      <c r="B8" s="24"/>
      <c r="C8" s="969" t="s">
        <v>98</v>
      </c>
      <c r="D8" s="809" t="str">
        <f>IF('Język - Language'!$B$30="Polski","ARTYKUŁ SPONSOROWANY Z GWARANCJĄ","ADVERTORIAL WITH A GUARANTEE")</f>
        <v>ARTYKUŁ SPONSOROWANY Z GWARANCJĄ</v>
      </c>
      <c r="E8" s="809"/>
      <c r="F8" s="809" t="str">
        <f>IF('Język - Language'!$B$30="Polski","ARTYKUŁ SPONSOROWANY","ADVERTORIAL")</f>
        <v>ARTYKUŁ SPONSOROWANY</v>
      </c>
      <c r="G8" s="809"/>
      <c r="H8" s="1098" t="str">
        <f>IF('Język - Language'!$B$30="Polski","ARTYKUŁ SPONSOROWANY LOKALNY","LOCAL ADVERTORIAL")</f>
        <v>ARTYKUŁ SPONSOROWANY LOKALNY</v>
      </c>
      <c r="I8" s="1099"/>
    </row>
    <row r="9" spans="2:12" s="272" customFormat="1" ht="12.75" customHeight="1">
      <c r="B9" s="24"/>
      <c r="C9" s="969"/>
      <c r="D9" s="809"/>
      <c r="E9" s="809"/>
      <c r="F9" s="809"/>
      <c r="G9" s="809"/>
      <c r="H9" s="1098"/>
      <c r="I9" s="1099"/>
    </row>
    <row r="10" spans="2:12" s="272" customFormat="1" ht="12.75" customHeight="1">
      <c r="B10" s="270"/>
      <c r="C10" s="969"/>
      <c r="D10" s="809" t="str">
        <f>IF('Język - Language'!$B$30="Polski","Flat Fee 7 dni / net net","Flat Fee 7 days / net net")</f>
        <v>Flat Fee 7 dni / net net</v>
      </c>
      <c r="E10" s="809"/>
      <c r="F10" s="809" t="str">
        <f>IF('Język - Language'!$B$30="Polski","Flat Fee 7 dni / net net","Flat Fee 7 days / net net")</f>
        <v>Flat Fee 7 dni / net net</v>
      </c>
      <c r="G10" s="809"/>
      <c r="H10" s="1098" t="str">
        <f>IF('Język - Language'!$B$30="Polski","Flat Fee 7 dni / net net","Flat Fee 7 days / net net")</f>
        <v>Flat Fee 7 dni / net net</v>
      </c>
      <c r="I10" s="1099"/>
    </row>
    <row r="11" spans="2:12" s="272" customFormat="1" ht="25.5" customHeight="1">
      <c r="B11" s="1081" t="str">
        <f>IF('Język - Language'!$B$30="Polski","FLAT FEE","FLAT FEE")</f>
        <v>FLAT FEE</v>
      </c>
      <c r="C11" s="620" t="s">
        <v>99</v>
      </c>
      <c r="D11" s="1083" t="s">
        <v>106</v>
      </c>
      <c r="E11" s="1084"/>
      <c r="F11" s="1092" t="s">
        <v>105</v>
      </c>
      <c r="G11" s="1093"/>
      <c r="H11" s="1100" t="str">
        <f>IF('Język - Language'!$B$30="Polski","nd","n/a")</f>
        <v>nd</v>
      </c>
      <c r="I11" s="1101"/>
    </row>
    <row r="12" spans="2:12" s="272" customFormat="1" ht="25.5" customHeight="1">
      <c r="B12" s="1081"/>
      <c r="C12" s="619" t="s">
        <v>100</v>
      </c>
      <c r="D12" s="1083" t="s">
        <v>107</v>
      </c>
      <c r="E12" s="1084"/>
      <c r="F12" s="1092"/>
      <c r="G12" s="1093"/>
      <c r="H12" s="1100"/>
      <c r="I12" s="1101"/>
    </row>
    <row r="13" spans="2:12" s="272" customFormat="1" ht="25.5" customHeight="1">
      <c r="B13" s="1081"/>
      <c r="C13" s="619" t="s">
        <v>101</v>
      </c>
      <c r="D13" s="1083" t="s">
        <v>108</v>
      </c>
      <c r="E13" s="1084"/>
      <c r="F13" s="1092"/>
      <c r="G13" s="1093"/>
      <c r="H13" s="1100"/>
      <c r="I13" s="1101"/>
    </row>
    <row r="14" spans="2:12" s="272" customFormat="1" ht="25.5" customHeight="1">
      <c r="B14" s="1081"/>
      <c r="C14" s="199" t="s">
        <v>102</v>
      </c>
      <c r="D14" s="1083" t="s">
        <v>109</v>
      </c>
      <c r="E14" s="1084"/>
      <c r="F14" s="1094"/>
      <c r="G14" s="1095"/>
      <c r="H14" s="1102"/>
      <c r="I14" s="1103"/>
    </row>
    <row r="15" spans="2:12" s="272" customFormat="1" ht="25.5" customHeight="1">
      <c r="B15" s="1082"/>
      <c r="C15" s="200" t="s">
        <v>103</v>
      </c>
      <c r="D15" s="1085" t="str">
        <f>IF('Język - Language'!$B$30="Polski","nd","n/a")</f>
        <v>nd</v>
      </c>
      <c r="E15" s="1086"/>
      <c r="F15" s="1096" t="s">
        <v>104</v>
      </c>
      <c r="G15" s="1097"/>
      <c r="H15" s="1104">
        <v>2000</v>
      </c>
      <c r="I15" s="1105"/>
    </row>
    <row r="16" spans="2:12" s="272" customFormat="1" ht="12.75" customHeight="1">
      <c r="B16" s="270"/>
      <c r="C16" s="203"/>
      <c r="D16" s="352"/>
      <c r="E16" s="352"/>
      <c r="F16" s="211"/>
      <c r="G16" s="211"/>
      <c r="H16" s="210"/>
      <c r="I16" s="210"/>
      <c r="J16" s="210"/>
      <c r="L16" s="626"/>
    </row>
    <row r="17" spans="2:13" s="272" customFormat="1" ht="12.75" customHeight="1">
      <c r="B17" s="270"/>
      <c r="C17" s="203"/>
      <c r="D17" s="352"/>
      <c r="E17" s="352"/>
      <c r="F17" s="211"/>
      <c r="G17" s="211"/>
      <c r="H17" s="210"/>
      <c r="I17" s="210"/>
      <c r="J17" s="210"/>
      <c r="L17" s="626"/>
    </row>
    <row r="18" spans="2:13" s="272" customFormat="1" ht="12.75" customHeight="1">
      <c r="B18" s="270"/>
      <c r="C18" s="201" t="str">
        <f>IF('Język - Language'!$B$30="Polski","ARTYKUŁ SPONSOROWANY LOKALNY - OPCJE DODATKOWE / DOPŁATY DO CENY PODSTAWOWEJ:","ADDITIONAL OPTIONS / EXTRA CHARGES TO BASIC PRICE:")</f>
        <v>ARTYKUŁ SPONSOROWANY LOKALNY - OPCJE DODATKOWE / DOPŁATY DO CENY PODSTAWOWEJ:</v>
      </c>
      <c r="D18" s="352"/>
      <c r="E18" s="352"/>
      <c r="F18" s="211"/>
      <c r="G18" s="211"/>
      <c r="H18" s="210"/>
      <c r="I18" s="210"/>
      <c r="J18" s="210"/>
      <c r="L18" s="626"/>
    </row>
    <row r="19" spans="2:13" s="272" customFormat="1" ht="25.5" customHeight="1">
      <c r="B19" s="24"/>
      <c r="C19" s="976" t="str">
        <f>IF('Język - Language'!$B$30="Polski","WOJEWÓDZTWO","PROVINCE")</f>
        <v>WOJEWÓDZTWO</v>
      </c>
      <c r="D19" s="981" t="str">
        <f>IF('Język - Language'!$B$30="Polski","GEOTARGETOWANY LINK TEKSTOWY NA SG WP¹","TEXTUAL LINK WITH GEOTARGETING IN THE WP HP¹")</f>
        <v>GEOTARGETOWANY LINK TEKSTOWY NA SG WP¹</v>
      </c>
      <c r="E19" s="981"/>
      <c r="F19" s="810" t="str">
        <f>IF('Język - Language'!$B$30="Polski","GEOBOX NA SG WP¹","GEOBOX IN THE WP HP¹")</f>
        <v>GEOBOX NA SG WP¹</v>
      </c>
      <c r="G19" s="1087"/>
      <c r="H19" s="210"/>
      <c r="I19" s="210"/>
      <c r="J19" s="210"/>
      <c r="L19" s="626"/>
    </row>
    <row r="20" spans="2:13" s="272" customFormat="1" ht="24.75" customHeight="1">
      <c r="B20" s="270"/>
      <c r="C20" s="969"/>
      <c r="D20" s="621" t="str">
        <f>IF('Język - Language'!$B$30="Polski","MODUŁ WIADOMOŚCI","CATEGORY NEWS")</f>
        <v>MODUŁ WIADOMOŚCI</v>
      </c>
      <c r="E20" s="629" t="str">
        <f>IF('Język - Language'!$B$30="Polski","MODUŁ SPORT","CATEGORY SPORT")</f>
        <v>MODUŁ SPORT</v>
      </c>
      <c r="F20" s="632" t="str">
        <f>IF('Język - Language'!$B$30="Polski","MODUŁ GWIAZDY","CATEGORY STARS")</f>
        <v>MODUŁ GWIAZDY</v>
      </c>
      <c r="G20" s="631" t="str">
        <f>IF('Język - Language'!$B$30="Polski","MODUŁ  MOTO, TECH, STYL ŻYCIA","CATEGORY AUTOMOTIVE, TECH, LIFESTYLE")</f>
        <v>MODUŁ  MOTO, TECH, STYL ŻYCIA</v>
      </c>
      <c r="H20" s="210"/>
      <c r="I20" s="210"/>
      <c r="J20" s="210"/>
      <c r="L20" s="626"/>
    </row>
    <row r="21" spans="2:13" s="272" customFormat="1" ht="12.75" customHeight="1">
      <c r="B21" s="270"/>
      <c r="C21" s="628"/>
      <c r="D21" s="933" t="str">
        <f>IF('Język - Language'!$B$30="Polski","Flat Fee 1 dzień / net net","Flat Fee 1 day / net net")</f>
        <v>Flat Fee 1 dzień / net net</v>
      </c>
      <c r="E21" s="933"/>
      <c r="F21" s="933" t="str">
        <f>IF('Język - Language'!$B$30="Polski","Flat Fee 7 dni / net net","Flat Fee 7 days / net net")</f>
        <v>Flat Fee 7 dni / net net</v>
      </c>
      <c r="G21" s="938"/>
      <c r="H21" s="210"/>
      <c r="I21" s="210"/>
      <c r="J21" s="210"/>
      <c r="L21" s="626"/>
    </row>
    <row r="22" spans="2:13" s="272" customFormat="1" ht="25.5" customHeight="1">
      <c r="B22" s="1081" t="s">
        <v>61</v>
      </c>
      <c r="C22" s="213" t="s">
        <v>63</v>
      </c>
      <c r="D22" s="650">
        <v>4500</v>
      </c>
      <c r="E22" s="651">
        <v>3500</v>
      </c>
      <c r="F22" s="656">
        <v>2500</v>
      </c>
      <c r="G22" s="651">
        <v>1500</v>
      </c>
      <c r="H22" s="210"/>
      <c r="I22" s="210"/>
      <c r="J22" s="210"/>
      <c r="L22" s="626"/>
    </row>
    <row r="23" spans="2:13" s="272" customFormat="1" ht="38.25" customHeight="1">
      <c r="B23" s="1081"/>
      <c r="C23" s="364" t="s">
        <v>64</v>
      </c>
      <c r="D23" s="652">
        <v>2000</v>
      </c>
      <c r="E23" s="653">
        <v>1500</v>
      </c>
      <c r="F23" s="657">
        <v>1500</v>
      </c>
      <c r="G23" s="653">
        <v>1000</v>
      </c>
      <c r="H23" s="210"/>
      <c r="I23" s="210"/>
      <c r="J23" s="210"/>
      <c r="L23" s="626"/>
    </row>
    <row r="24" spans="2:13" s="272" customFormat="1" ht="25.5" customHeight="1">
      <c r="B24" s="1081"/>
      <c r="C24" s="199" t="s">
        <v>65</v>
      </c>
      <c r="D24" s="652">
        <v>1500</v>
      </c>
      <c r="E24" s="653">
        <v>1300</v>
      </c>
      <c r="F24" s="657">
        <v>1000</v>
      </c>
      <c r="G24" s="653">
        <v>700</v>
      </c>
      <c r="H24" s="210"/>
      <c r="I24" s="210"/>
      <c r="J24" s="210"/>
      <c r="L24" s="626"/>
    </row>
    <row r="25" spans="2:13" s="272" customFormat="1" ht="38.25" customHeight="1">
      <c r="B25" s="1081"/>
      <c r="C25" s="364" t="s">
        <v>66</v>
      </c>
      <c r="D25" s="652">
        <v>1000</v>
      </c>
      <c r="E25" s="653">
        <v>700</v>
      </c>
      <c r="F25" s="657">
        <v>1000</v>
      </c>
      <c r="G25" s="653">
        <v>700</v>
      </c>
      <c r="H25" s="210"/>
      <c r="I25" s="210"/>
      <c r="J25" s="210"/>
      <c r="L25" s="626"/>
    </row>
    <row r="26" spans="2:13" s="272" customFormat="1" ht="38.25" customHeight="1">
      <c r="B26" s="1081"/>
      <c r="C26" s="365" t="s">
        <v>67</v>
      </c>
      <c r="D26" s="654">
        <v>700</v>
      </c>
      <c r="E26" s="655">
        <v>500</v>
      </c>
      <c r="F26" s="658">
        <v>500</v>
      </c>
      <c r="G26" s="659">
        <v>500</v>
      </c>
      <c r="H26" s="210"/>
      <c r="I26" s="210"/>
      <c r="J26" s="210"/>
      <c r="L26" s="626"/>
    </row>
    <row r="27" spans="2:13" s="272" customFormat="1" ht="12.75">
      <c r="C27" s="203" t="str">
        <f>IF('Język - Language'!$B$30="Polski","¹ wycena net-net, ceny dla 1 województwa","¹ net-net valuation, prices for 1 province")</f>
        <v>¹ wycena net-net, ceny dla 1 województwa</v>
      </c>
      <c r="D27" s="203"/>
      <c r="E27" s="630"/>
      <c r="F27" s="630"/>
      <c r="G27" s="630"/>
      <c r="H27" s="630"/>
      <c r="I27" s="630"/>
      <c r="J27" s="289"/>
      <c r="M27" s="626"/>
    </row>
    <row r="28" spans="2:13" s="272" customFormat="1" ht="12.75">
      <c r="C28" s="203"/>
      <c r="D28" s="203"/>
      <c r="E28" s="639"/>
      <c r="F28" s="639"/>
      <c r="G28" s="639"/>
      <c r="H28" s="639"/>
      <c r="I28" s="639"/>
      <c r="J28" s="289"/>
      <c r="M28" s="626"/>
    </row>
    <row r="29" spans="2:13" s="272" customFormat="1" ht="12.75">
      <c r="C29" s="203"/>
      <c r="D29" s="203"/>
      <c r="E29" s="630"/>
      <c r="F29" s="630"/>
      <c r="G29" s="630"/>
      <c r="H29" s="630"/>
      <c r="I29" s="630"/>
      <c r="J29" s="289"/>
      <c r="M29" s="626"/>
    </row>
    <row r="30" spans="2:13" s="272" customFormat="1" ht="12.75" customHeight="1">
      <c r="B30" s="270"/>
      <c r="C30" s="361" t="s">
        <v>110</v>
      </c>
      <c r="D30" s="352"/>
      <c r="E30" s="352"/>
      <c r="F30" s="211"/>
      <c r="G30" s="211"/>
      <c r="H30" s="210"/>
      <c r="I30" s="210"/>
      <c r="J30" s="210"/>
      <c r="L30" s="626"/>
    </row>
    <row r="31" spans="2:13" s="272" customFormat="1" ht="12.75" customHeight="1">
      <c r="B31" s="24"/>
      <c r="C31" s="1088" t="str">
        <f>IF('Język - Language'!$B$30="Polski","LICZBA ARTYKUŁÓW","NUMBER OF ARTICLES")</f>
        <v>LICZBA ARTYKUŁÓW</v>
      </c>
      <c r="D31" s="810" t="str">
        <f>IF('Język - Language'!$B$30="Polski","PRÓG #1","OPTION #1")</f>
        <v>PRÓG #1</v>
      </c>
      <c r="E31" s="810"/>
      <c r="F31" s="810" t="str">
        <f>IF('Język - Language'!$B$30="Polski","PRÓG #2","OPTION #2")</f>
        <v>PRÓG #2</v>
      </c>
      <c r="G31" s="1087"/>
    </row>
    <row r="32" spans="2:13" s="272" customFormat="1" ht="12.75" customHeight="1">
      <c r="B32" s="24"/>
      <c r="C32" s="1089"/>
      <c r="D32" s="625" t="str">
        <f>IF('Język - Language'!$B$30="Polski","ZASIĘG","REACH")</f>
        <v>ZASIĘG</v>
      </c>
      <c r="E32" s="351" t="str">
        <f>IF('Język - Language'!$B$30="Polski","Flat Fee 7 dni / net net","Flat Fee 7 days / net net")</f>
        <v>Flat Fee 7 dni / net net</v>
      </c>
      <c r="F32" s="636" t="str">
        <f>IF('Język - Language'!$B$30="Polski","ZASIĘG","REACH")</f>
        <v>ZASIĘG</v>
      </c>
      <c r="G32" s="637" t="str">
        <f>IF('Język - Language'!$B$30="Polski","Flat Fee 7 dni / net net","Flat Fee 7 days / net net")</f>
        <v>Flat Fee 7 dni / net net</v>
      </c>
    </row>
    <row r="33" spans="2:13" s="272" customFormat="1" ht="25.5" customHeight="1">
      <c r="B33" s="1081" t="str">
        <f>IF('Język - Language'!$B$30="Polski","FLAT FEE","FLAT FEE")</f>
        <v>FLAT FEE</v>
      </c>
      <c r="C33" s="341">
        <v>1</v>
      </c>
      <c r="D33" s="358" t="s">
        <v>82</v>
      </c>
      <c r="E33" s="660">
        <v>12000</v>
      </c>
      <c r="F33" s="638" t="s">
        <v>86</v>
      </c>
      <c r="G33" s="651">
        <v>15000</v>
      </c>
    </row>
    <row r="34" spans="2:13" s="272" customFormat="1" ht="25.5" customHeight="1">
      <c r="B34" s="1081"/>
      <c r="C34" s="342">
        <v>2</v>
      </c>
      <c r="D34" s="623" t="s">
        <v>83</v>
      </c>
      <c r="E34" s="653">
        <v>22800</v>
      </c>
      <c r="F34" s="635" t="s">
        <v>87</v>
      </c>
      <c r="G34" s="653">
        <v>28500</v>
      </c>
    </row>
    <row r="35" spans="2:13" s="272" customFormat="1" ht="25.5" customHeight="1">
      <c r="B35" s="1081"/>
      <c r="C35" s="343">
        <v>3</v>
      </c>
      <c r="D35" s="623" t="s">
        <v>84</v>
      </c>
      <c r="E35" s="653">
        <v>32400</v>
      </c>
      <c r="F35" s="635" t="s">
        <v>88</v>
      </c>
      <c r="G35" s="653">
        <v>40500</v>
      </c>
    </row>
    <row r="36" spans="2:13" s="272" customFormat="1" ht="25.5" customHeight="1">
      <c r="B36" s="1082"/>
      <c r="C36" s="627">
        <v>4</v>
      </c>
      <c r="D36" s="624" t="s">
        <v>85</v>
      </c>
      <c r="E36" s="655">
        <v>40800</v>
      </c>
      <c r="F36" s="634" t="s">
        <v>89</v>
      </c>
      <c r="G36" s="655">
        <v>51000</v>
      </c>
    </row>
    <row r="37" spans="2:13" s="272" customFormat="1" ht="12.75" customHeight="1">
      <c r="B37" s="270"/>
      <c r="C37" s="209"/>
      <c r="D37" s="352"/>
      <c r="E37" s="352"/>
      <c r="F37" s="211"/>
      <c r="G37" s="211"/>
      <c r="H37" s="210"/>
      <c r="I37" s="210"/>
      <c r="J37" s="210"/>
      <c r="L37" s="626"/>
    </row>
    <row r="38" spans="2:13" s="272" customFormat="1" ht="12.75" customHeight="1">
      <c r="B38" s="270"/>
      <c r="C38" s="209"/>
      <c r="D38" s="352"/>
      <c r="E38" s="352"/>
      <c r="F38" s="211"/>
      <c r="G38" s="211"/>
      <c r="H38" s="210"/>
      <c r="I38" s="210"/>
      <c r="J38" s="210"/>
      <c r="L38" s="626"/>
    </row>
    <row r="39" spans="2:13" s="272" customFormat="1" ht="12.75" customHeight="1">
      <c r="B39" s="270"/>
      <c r="C39" s="362" t="s">
        <v>118</v>
      </c>
      <c r="D39" s="352"/>
      <c r="E39" s="352"/>
      <c r="F39" s="211"/>
      <c r="G39" s="211"/>
      <c r="H39" s="210"/>
      <c r="I39" s="210"/>
      <c r="J39" s="210"/>
      <c r="L39" s="626"/>
    </row>
    <row r="40" spans="2:13" s="272" customFormat="1" ht="25.5" customHeight="1">
      <c r="B40" s="270"/>
      <c r="C40" s="969" t="str">
        <f>IF('Język - Language'!$B$30="Polski","MIEJSCE EMISJI","PLACE OF EMISSION")</f>
        <v>MIEJSCE EMISJI</v>
      </c>
      <c r="D40" s="809" t="s">
        <v>113</v>
      </c>
      <c r="E40" s="809"/>
      <c r="F40" s="809" t="s">
        <v>111</v>
      </c>
      <c r="G40" s="819"/>
      <c r="H40" s="626"/>
    </row>
    <row r="41" spans="2:13" s="272" customFormat="1" ht="12.75" customHeight="1">
      <c r="B41" s="270"/>
      <c r="C41" s="969"/>
      <c r="D41" s="809" t="s">
        <v>114</v>
      </c>
      <c r="E41" s="809"/>
      <c r="F41" s="809" t="s">
        <v>116</v>
      </c>
      <c r="G41" s="819"/>
      <c r="H41" s="626"/>
    </row>
    <row r="42" spans="2:13" s="272" customFormat="1" ht="38.25" customHeight="1">
      <c r="B42" s="622" t="s">
        <v>61</v>
      </c>
      <c r="C42" s="200" t="s">
        <v>256</v>
      </c>
      <c r="D42" s="1090" t="s">
        <v>115</v>
      </c>
      <c r="E42" s="1091"/>
      <c r="F42" s="1090" t="s">
        <v>117</v>
      </c>
      <c r="G42" s="1091"/>
      <c r="H42" s="626"/>
    </row>
    <row r="43" spans="2:13" s="272" customFormat="1" ht="12.75" customHeight="1">
      <c r="B43" s="270"/>
      <c r="C43" s="203" t="str">
        <f>IF('Język - Language'!$B$30="Polski","¹ zasięg 15 000 UU","¹ reach 15 000 UU")</f>
        <v>¹ zasięg 15 000 UU</v>
      </c>
      <c r="D43" s="352"/>
      <c r="E43" s="352"/>
      <c r="F43" s="211"/>
      <c r="G43" s="211"/>
      <c r="H43" s="210"/>
      <c r="I43" s="210"/>
      <c r="J43" s="210"/>
      <c r="L43" s="626"/>
    </row>
    <row r="44" spans="2:13" s="272" customFormat="1" ht="12.75" customHeight="1">
      <c r="C44" s="185"/>
      <c r="D44" s="185"/>
      <c r="E44" s="185"/>
      <c r="F44" s="185"/>
      <c r="G44" s="185"/>
      <c r="H44" s="185"/>
      <c r="I44" s="185"/>
      <c r="J44" s="185"/>
      <c r="M44" s="495"/>
    </row>
    <row r="45" spans="2:13" s="272" customFormat="1" ht="12.75" customHeight="1">
      <c r="C45" s="201" t="str">
        <f>IF('Język - Language'!$B$30="Polski","INFORMACJE DODATKOWE: ","FURTHER INFORMATION: ")</f>
        <v xml:space="preserve">INFORMACJE DODATKOWE: </v>
      </c>
      <c r="D45" s="201"/>
      <c r="E45" s="630"/>
      <c r="F45" s="630"/>
      <c r="G45" s="630"/>
      <c r="H45" s="630"/>
      <c r="I45" s="630"/>
      <c r="J45" s="184" t="s">
        <v>28</v>
      </c>
      <c r="M45" s="495"/>
    </row>
    <row r="46" spans="2:13" s="272" customFormat="1" ht="12.75" customHeight="1">
      <c r="C46" s="630"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84"/>
      <c r="E46" s="184"/>
      <c r="F46" s="184"/>
      <c r="G46" s="184"/>
      <c r="H46" s="184"/>
      <c r="I46" s="184"/>
      <c r="J46" s="184"/>
      <c r="M46" s="495"/>
    </row>
    <row r="47" spans="2:13" s="272" customFormat="1" ht="12.75" customHeight="1">
      <c r="C47" s="202" t="s">
        <v>153</v>
      </c>
      <c r="D47" s="390"/>
      <c r="E47" s="390"/>
      <c r="F47" s="390"/>
      <c r="G47" s="390"/>
      <c r="H47" s="390"/>
      <c r="I47" s="390"/>
      <c r="J47" s="390"/>
      <c r="M47" s="495"/>
    </row>
    <row r="48" spans="2:13" s="272" customFormat="1">
      <c r="C48" s="289" t="str">
        <f>IF('Język - Language'!$B$30="Polski","• Istnieje możliwość emisji video oraz brandingu w ramach artykułu sponsorowanego lub plotki sponsorowanej (wycena ustalana indywidualnie).","• Addiotionally, you can add video or branding to the article. For price please contact the Advertising Office of WP.")</f>
        <v>• Istnieje możliwość emisji video oraz brandingu w ramach artykułu sponsorowanego lub plotki sponsorowanej (wycena ustalana indywidualnie).</v>
      </c>
      <c r="D48" s="289"/>
      <c r="E48" s="630"/>
      <c r="F48" s="630"/>
      <c r="G48" s="630"/>
      <c r="H48" s="630"/>
      <c r="I48" s="630"/>
      <c r="J48" s="289"/>
      <c r="M48" s="495"/>
    </row>
    <row r="49" spans="3:13" s="272" customFormat="1">
      <c r="C49" s="289"/>
      <c r="D49" s="289"/>
      <c r="E49" s="630"/>
      <c r="F49" s="630"/>
      <c r="G49" s="630"/>
      <c r="H49" s="630"/>
      <c r="I49" s="630"/>
      <c r="J49" s="289"/>
      <c r="M49" s="495"/>
    </row>
    <row r="50" spans="3:13" s="272" customFormat="1">
      <c r="C50" s="201" t="str">
        <f>IF('Język - Language'!$B$30="Polski","ARTYKUŁ SPONSOROWANY - OPCJE DODATKOWE (bez dopłat):","ADDITIONAL OPTIONS:")</f>
        <v>ARTYKUŁ SPONSOROWANY - OPCJE DODATKOWE (bez dopłat):</v>
      </c>
      <c r="D50" s="289"/>
      <c r="E50" s="630"/>
      <c r="F50" s="630"/>
      <c r="G50" s="630"/>
      <c r="H50" s="630"/>
      <c r="I50" s="630"/>
      <c r="J50" s="289"/>
      <c r="M50" s="495"/>
    </row>
    <row r="51" spans="3:13" s="272" customFormat="1">
      <c r="C51" s="289" t="str">
        <f>IF('Język - Language'!$B$30="Polski","• Możliwość umieszczenia multimediów w artykule ","• It is possible to place multimedia in an article")</f>
        <v xml:space="preserve">• Możliwość umieszczenia multimediów w artykule </v>
      </c>
      <c r="D51" s="289"/>
      <c r="E51" s="630"/>
      <c r="F51" s="630"/>
      <c r="G51" s="630"/>
      <c r="H51" s="630"/>
      <c r="I51" s="630"/>
      <c r="J51" s="289"/>
      <c r="M51" s="495"/>
    </row>
    <row r="52" spans="3:13" s="272" customFormat="1">
      <c r="C52" s="202" t="str">
        <f>IF('Język - Language'!$B$30="Polski","• Branding artykułu (screening desktop i górny banner mobile)","• Branding (desktop screening &amp; upper mobile banner)")</f>
        <v>• Branding artykułu (screening desktop i górny banner mobile)</v>
      </c>
      <c r="D52" s="289"/>
      <c r="E52" s="630"/>
      <c r="F52" s="630"/>
      <c r="G52" s="630"/>
      <c r="H52" s="630"/>
      <c r="I52" s="630"/>
      <c r="J52" s="289"/>
      <c r="M52" s="495"/>
    </row>
  </sheetData>
  <mergeCells count="35">
    <mergeCell ref="F11:G14"/>
    <mergeCell ref="F15:G15"/>
    <mergeCell ref="H8:I9"/>
    <mergeCell ref="H10:I10"/>
    <mergeCell ref="H11:I14"/>
    <mergeCell ref="H15:I15"/>
    <mergeCell ref="C31:C32"/>
    <mergeCell ref="D31:E31"/>
    <mergeCell ref="F31:G31"/>
    <mergeCell ref="D42:E42"/>
    <mergeCell ref="B33:B36"/>
    <mergeCell ref="F40:G40"/>
    <mergeCell ref="F41:G41"/>
    <mergeCell ref="F42:G42"/>
    <mergeCell ref="C40:C41"/>
    <mergeCell ref="D40:E40"/>
    <mergeCell ref="D41:E41"/>
    <mergeCell ref="F19:G19"/>
    <mergeCell ref="F21:G21"/>
    <mergeCell ref="C19:C20"/>
    <mergeCell ref="D19:E19"/>
    <mergeCell ref="B22:B26"/>
    <mergeCell ref="D21:E21"/>
    <mergeCell ref="B11:B15"/>
    <mergeCell ref="D11:E11"/>
    <mergeCell ref="D12:E12"/>
    <mergeCell ref="D13:E13"/>
    <mergeCell ref="D14:E14"/>
    <mergeCell ref="D15:E15"/>
    <mergeCell ref="C8:C10"/>
    <mergeCell ref="D8:E9"/>
    <mergeCell ref="D10:E10"/>
    <mergeCell ref="F10:G10"/>
    <mergeCell ref="F1:I3"/>
    <mergeCell ref="F8:G9"/>
  </mergeCells>
  <pageMargins left="0.7" right="0.7" top="0.75" bottom="0.75" header="0.3" footer="0.3"/>
  <pageSetup paperSize="9" orientation="portrait" horizontalDpi="1200" verticalDpi="1200" r:id="rId1"/>
  <ignoredErrors>
    <ignoredError sqref="E3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pageSetUpPr fitToPage="1"/>
  </sheetPr>
  <dimension ref="A1:AA89"/>
  <sheetViews>
    <sheetView zoomScaleNormal="100" workbookViewId="0">
      <pane ySplit="4" topLeftCell="A5" activePane="bottomLeft" state="frozen"/>
      <selection pane="bottomLeft"/>
    </sheetView>
  </sheetViews>
  <sheetFormatPr defaultColWidth="11.42578125" defaultRowHeight="12.75"/>
  <cols>
    <col min="1" max="1" width="5.5703125" style="63" customWidth="1"/>
    <col min="2" max="2" width="20.42578125" style="63" customWidth="1"/>
    <col min="3" max="3" width="70.85546875" style="63" customWidth="1"/>
    <col min="4" max="4" width="43.85546875" style="63" customWidth="1"/>
    <col min="5" max="5" width="5.42578125" style="63" customWidth="1"/>
    <col min="6" max="6" width="33.42578125" style="63" customWidth="1"/>
    <col min="7" max="16384" width="11.42578125" style="63"/>
  </cols>
  <sheetData>
    <row r="1" spans="1:12" ht="12.75" customHeight="1">
      <c r="A1" s="102"/>
      <c r="B1" s="102"/>
      <c r="C1" s="697"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D1" s="697"/>
      <c r="E1" s="68"/>
      <c r="F1" s="68"/>
      <c r="G1" s="272"/>
      <c r="H1" s="272"/>
      <c r="I1" s="272"/>
      <c r="J1" s="272"/>
      <c r="K1" s="272"/>
      <c r="L1" s="272"/>
    </row>
    <row r="2" spans="1:12" ht="12.75" customHeight="1">
      <c r="A2" s="102"/>
      <c r="B2" s="102"/>
      <c r="C2" s="697"/>
      <c r="D2" s="697"/>
      <c r="E2" s="68"/>
      <c r="F2" s="68"/>
      <c r="G2" s="272"/>
      <c r="H2" s="272"/>
      <c r="I2" s="272"/>
      <c r="J2" s="272"/>
      <c r="K2" s="272"/>
      <c r="L2" s="272"/>
    </row>
    <row r="3" spans="1:12" ht="12.75" customHeight="1">
      <c r="A3" s="102"/>
      <c r="B3" s="102"/>
      <c r="C3" s="697"/>
      <c r="D3" s="697"/>
      <c r="E3" s="68"/>
      <c r="F3" s="68"/>
      <c r="G3" s="272"/>
      <c r="H3" s="272"/>
      <c r="I3" s="272"/>
      <c r="J3" s="272"/>
      <c r="K3" s="272"/>
      <c r="L3" s="272"/>
    </row>
    <row r="4" spans="1:12" s="34" customFormat="1" ht="12.75" customHeight="1">
      <c r="A4" s="275"/>
      <c r="B4" s="35" t="str">
        <f>IF('Język - Language'!$B$30="Polski","            Opcje emisji, dopłaty i uwagi dodatkowe","            Extra charges, additional service and further comments")</f>
        <v xml:space="preserve">            Opcje emisji, dopłaty i uwagi dodatkowe</v>
      </c>
      <c r="C4" s="36"/>
      <c r="D4" s="269" t="str">
        <f>IF('Język - Language'!$B$30="Polski","PL","EN")</f>
        <v>PL</v>
      </c>
      <c r="E4" s="275"/>
      <c r="F4" s="275"/>
      <c r="G4" s="275"/>
      <c r="H4" s="275"/>
      <c r="I4" s="275"/>
      <c r="J4" s="275"/>
      <c r="K4" s="275"/>
      <c r="L4" s="275"/>
    </row>
    <row r="5" spans="1:12" ht="12.75" customHeight="1">
      <c r="A5" s="272"/>
      <c r="B5" s="272"/>
      <c r="C5" s="272"/>
      <c r="D5" s="272"/>
      <c r="E5" s="272"/>
      <c r="F5" s="272"/>
      <c r="G5" s="272"/>
      <c r="H5" s="272"/>
      <c r="I5" s="272"/>
      <c r="J5" s="272"/>
      <c r="K5" s="272"/>
      <c r="L5" s="272"/>
    </row>
    <row r="6" spans="1:12" ht="12.75" customHeight="1">
      <c r="A6" s="272"/>
      <c r="B6" s="270"/>
      <c r="C6" s="270"/>
      <c r="D6" s="270"/>
      <c r="E6" s="272"/>
      <c r="F6" s="272"/>
      <c r="G6" s="272"/>
      <c r="H6" s="272"/>
      <c r="I6" s="272"/>
      <c r="J6" s="272"/>
      <c r="K6" s="272"/>
      <c r="L6" s="272"/>
    </row>
    <row r="7" spans="1:12" ht="25.5" customHeight="1">
      <c r="A7" s="270"/>
      <c r="B7" s="970" t="str">
        <f>IF('Język - Language'!$B$30="Polski","OPCJE EMISJI","ADDITIONAL OPTIONS")</f>
        <v>OPCJE EMISJI</v>
      </c>
      <c r="C7" s="970"/>
      <c r="D7" s="327" t="str">
        <f>IF('Język - Language'!$B$30="Polski","DOPŁATA","EXTRA CHARGE")</f>
        <v>DOPŁATA</v>
      </c>
      <c r="E7" s="272"/>
      <c r="F7" s="272"/>
      <c r="G7" s="272"/>
      <c r="H7" s="272"/>
      <c r="I7" s="272"/>
      <c r="J7" s="272"/>
      <c r="K7" s="272"/>
      <c r="L7" s="272"/>
    </row>
    <row r="8" spans="1:12" s="229" customFormat="1" ht="12.75" customHeight="1">
      <c r="A8" s="272"/>
      <c r="B8" s="1116" t="str">
        <f>IF('Język - Language'!$B$30="Polski","Umieszczenie reklamy w wybranym przedziale godzinowym","Displaying ad in selected hourly time slots")</f>
        <v>Umieszczenie reklamy w wybranym przedziale godzinowym</v>
      </c>
      <c r="C8" s="1116"/>
      <c r="D8" s="329" t="s">
        <v>73</v>
      </c>
      <c r="E8" s="21"/>
      <c r="F8" s="144"/>
      <c r="G8" s="144"/>
      <c r="H8" s="144"/>
      <c r="I8" s="69"/>
      <c r="J8" s="69"/>
      <c r="K8" s="69"/>
      <c r="L8" s="69"/>
    </row>
    <row r="9" spans="1:12" ht="12.75" customHeight="1">
      <c r="A9" s="272"/>
      <c r="B9" s="820" t="str">
        <f>IF('Język - Language'!$B$30="Polski","Umieszczenie reklamy w wybranym przedziale godzinowym w opcji last minute","Displaying ad in selected hourly time slots (last minute)")</f>
        <v>Umieszczenie reklamy w wybranym przedziale godzinowym w opcji last minute</v>
      </c>
      <c r="C9" s="822"/>
      <c r="D9" s="329" t="s">
        <v>74</v>
      </c>
      <c r="E9" s="21"/>
      <c r="F9" s="144"/>
      <c r="G9" s="144"/>
      <c r="H9" s="144"/>
      <c r="I9" s="69"/>
      <c r="J9" s="69"/>
      <c r="K9" s="69"/>
      <c r="L9" s="69"/>
    </row>
    <row r="10" spans="1:12" ht="12.75" customHeight="1">
      <c r="A10" s="272"/>
      <c r="B10" s="1116" t="str">
        <f>IF('Język - Language'!$B$30="Polski","Ukierunkowanie reklamy do użytkowników wybranej przeglądarki internetowej","Directing ad to users using selected internet browser")</f>
        <v>Ukierunkowanie reklamy do użytkowników wybranej przeglądarki internetowej</v>
      </c>
      <c r="C10" s="1116"/>
      <c r="D10" s="330" t="s">
        <v>73</v>
      </c>
      <c r="E10" s="272"/>
      <c r="F10" s="144"/>
      <c r="G10" s="144"/>
      <c r="H10" s="144"/>
      <c r="I10" s="270"/>
      <c r="J10" s="270"/>
      <c r="K10" s="270"/>
      <c r="L10" s="270"/>
    </row>
    <row r="11" spans="1:12" ht="12.75" customHeight="1">
      <c r="A11" s="272"/>
      <c r="B11" s="1114" t="str">
        <f>IF('Język - Language'!$B$30="Polski","Ukierunkowanie reklamy do użytkowników wybranego systemu operacyjnego","Directing ad to users using selected operational system")</f>
        <v>Ukierunkowanie reklamy do użytkowników wybranego systemu operacyjnego</v>
      </c>
      <c r="C11" s="1114"/>
      <c r="D11" s="330" t="s">
        <v>74</v>
      </c>
      <c r="E11" s="272"/>
      <c r="F11" s="144"/>
      <c r="G11" s="144"/>
      <c r="H11" s="144"/>
      <c r="I11" s="1118"/>
      <c r="J11" s="1118"/>
      <c r="K11" s="1118"/>
      <c r="L11" s="70"/>
    </row>
    <row r="12" spans="1:12" ht="12.75" customHeight="1">
      <c r="A12" s="272"/>
      <c r="B12" s="1117" t="str">
        <f>IF('Język - Language'!$B$30="Polski","Ukierunkowanie reklamy do użytkowników wybranej marki lub modelu telefonu","Directing ad to users of selected brand or type of cell phone")</f>
        <v>Ukierunkowanie reklamy do użytkowników wybranej marki lub modelu telefonu</v>
      </c>
      <c r="C12" s="1117"/>
      <c r="D12" s="330" t="s">
        <v>73</v>
      </c>
      <c r="E12" s="272"/>
      <c r="F12" s="144"/>
      <c r="G12" s="144"/>
      <c r="H12" s="144"/>
      <c r="I12" s="1118"/>
      <c r="J12" s="1118"/>
      <c r="K12" s="1118"/>
      <c r="L12" s="70"/>
    </row>
    <row r="13" spans="1:12" ht="12.75" customHeight="1">
      <c r="A13" s="272"/>
      <c r="B13" s="1114" t="str">
        <f>IF('Język - Language'!$B$30="Polski","Ograniczenie ilości odsłon reklamy do pojedynczego użytkownika","Capping ad to single users")</f>
        <v>Ograniczenie ilości odsłon reklamy do pojedynczego użytkownika</v>
      </c>
      <c r="C13" s="1114"/>
      <c r="D13" s="330" t="s">
        <v>74</v>
      </c>
      <c r="E13" s="21"/>
      <c r="F13" s="144"/>
      <c r="G13" s="144"/>
      <c r="H13" s="144"/>
      <c r="I13" s="1118"/>
      <c r="J13" s="1118"/>
      <c r="K13" s="1118"/>
      <c r="L13" s="70"/>
    </row>
    <row r="14" spans="1:12" ht="12.75" customHeight="1">
      <c r="A14" s="272"/>
      <c r="B14" s="820" t="str">
        <f>IF('Język - Language'!$B$30="Polski","Targetowanie po operatorach (Play, Plus, T-mobile, Orange)","Directing ad to users who use Play, Plus, T-mobile or Orange provider ")</f>
        <v>Targetowanie po operatorach (Play, Plus, T-mobile, Orange)</v>
      </c>
      <c r="C14" s="822"/>
      <c r="D14" s="330" t="s">
        <v>72</v>
      </c>
      <c r="E14" s="272"/>
      <c r="F14" s="144"/>
      <c r="G14" s="144"/>
      <c r="H14" s="144"/>
      <c r="I14" s="1118"/>
      <c r="J14" s="1118"/>
      <c r="K14" s="1118"/>
      <c r="L14" s="70"/>
    </row>
    <row r="15" spans="1:12" ht="12.75" customHeight="1">
      <c r="A15" s="272"/>
      <c r="B15" s="820"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5" s="822"/>
      <c r="D15" s="330" t="s">
        <v>71</v>
      </c>
      <c r="E15" s="272"/>
      <c r="F15" s="144"/>
      <c r="G15" s="144"/>
      <c r="H15" s="144"/>
      <c r="I15" s="331"/>
      <c r="J15" s="331"/>
      <c r="K15" s="331"/>
      <c r="L15" s="70"/>
    </row>
    <row r="16" spans="1:12" ht="12.75" customHeight="1">
      <c r="A16" s="272"/>
      <c r="B16" s="1115" t="str">
        <f>IF('Język - Language'!$B$30="Polski","Wideo w kreacji ","Adding video in creative")</f>
        <v xml:space="preserve">Wideo w kreacji </v>
      </c>
      <c r="C16" s="1115"/>
      <c r="D16" s="330" t="s">
        <v>72</v>
      </c>
      <c r="E16" s="21"/>
      <c r="F16" s="144"/>
      <c r="G16" s="144"/>
      <c r="H16" s="144"/>
      <c r="I16" s="1134"/>
      <c r="J16" s="1134"/>
      <c r="K16" s="1134"/>
      <c r="L16" s="70"/>
    </row>
    <row r="17" spans="2:12" ht="12.75" customHeight="1">
      <c r="B17" s="1115" t="str">
        <f>IF('Język - Language'!$B$30="Polski","Gwarancja pierwszej pozycji w bloku reklamowym","A guarantee of the first ad position in advertising/placement block")</f>
        <v>Gwarancja pierwszej pozycji w bloku reklamowym</v>
      </c>
      <c r="C17" s="1115"/>
      <c r="D17" s="330" t="s">
        <v>75</v>
      </c>
      <c r="E17" s="21"/>
      <c r="F17" s="144"/>
      <c r="G17" s="144"/>
      <c r="H17" s="144"/>
      <c r="I17" s="333"/>
      <c r="J17" s="333"/>
      <c r="K17" s="333"/>
      <c r="L17" s="70"/>
    </row>
    <row r="18" spans="2:12" ht="12.75" customHeight="1">
      <c r="B18" s="1115" t="str">
        <f>IF('Język - Language'!$B$30="Polski","Emisja wyłącznie na wybranej części serwisu","Displaying ad in selected pages of a given site")</f>
        <v>Emisja wyłącznie na wybranej części serwisu</v>
      </c>
      <c r="C18" s="1115"/>
      <c r="D18" s="330" t="s">
        <v>72</v>
      </c>
      <c r="E18" s="21"/>
      <c r="F18" s="144"/>
      <c r="G18" s="144"/>
      <c r="H18" s="144"/>
      <c r="I18" s="1134"/>
      <c r="J18" s="1134"/>
      <c r="K18" s="1134"/>
      <c r="L18" s="70"/>
    </row>
    <row r="19" spans="2:12" ht="12.75" customHeight="1">
      <c r="B19" s="820" t="str">
        <f>IF('Język - Language'!$B$30="Polski","Tapeta: klikalna / animowana / interakwywna / z kurtyną","Clicable / animated watermark")</f>
        <v>Tapeta: klikalna / animowana / interakwywna / z kurtyną</v>
      </c>
      <c r="C19" s="822"/>
      <c r="D19" s="330" t="s">
        <v>72</v>
      </c>
      <c r="E19" s="272"/>
      <c r="F19" s="144"/>
      <c r="G19" s="144"/>
      <c r="H19" s="144"/>
      <c r="I19" s="1118"/>
      <c r="J19" s="1118"/>
      <c r="K19" s="1118"/>
      <c r="L19" s="70"/>
    </row>
    <row r="20" spans="2:12" ht="12.75" customHeight="1">
      <c r="B20" s="1115" t="str">
        <f>IF('Język - Language'!$B$30="Polski","Wyświetlanie kreacji reklamowych w określonej sekwencji","Displaying ads sequentionally")</f>
        <v>Wyświetlanie kreacji reklamowych w określonej sekwencji</v>
      </c>
      <c r="C20" s="1115"/>
      <c r="D20" s="330" t="s">
        <v>73</v>
      </c>
      <c r="E20" s="21"/>
      <c r="F20" s="144"/>
      <c r="G20" s="144"/>
      <c r="H20" s="144"/>
      <c r="I20" s="1118"/>
      <c r="J20" s="1118"/>
      <c r="K20" s="1118"/>
      <c r="L20" s="70"/>
    </row>
    <row r="21" spans="2:12" ht="12.75" customHeight="1">
      <c r="B21" s="1114" t="str">
        <f>IF('Język - Language'!$B$30="Polski","Logo drugiego klienta w kreacji","Adding second brand in a creative")</f>
        <v>Logo drugiego klienta w kreacji</v>
      </c>
      <c r="C21" s="1114"/>
      <c r="D21" s="330" t="s">
        <v>76</v>
      </c>
      <c r="E21" s="272"/>
      <c r="F21" s="144"/>
      <c r="G21" s="144"/>
      <c r="H21" s="144"/>
      <c r="I21" s="1118"/>
      <c r="J21" s="1118"/>
      <c r="K21" s="1118"/>
      <c r="L21" s="70"/>
    </row>
    <row r="22" spans="2:12" ht="12.75" customHeight="1">
      <c r="B22" s="1114" t="str">
        <f>IF('Język - Language'!$B$30="Polski","Każde następne logo w kreacji","Further brands in a creative")</f>
        <v>Każde następne logo w kreacji</v>
      </c>
      <c r="C22" s="1114"/>
      <c r="D22" s="330" t="s">
        <v>73</v>
      </c>
      <c r="E22" s="272"/>
      <c r="F22" s="144"/>
      <c r="G22" s="144"/>
      <c r="H22" s="144"/>
      <c r="I22" s="1118"/>
      <c r="J22" s="1118"/>
      <c r="K22" s="1118"/>
      <c r="L22" s="270"/>
    </row>
    <row r="23" spans="2:12" ht="12.75" customHeight="1">
      <c r="B23" s="1114" t="str">
        <f>IF('Język - Language'!$B$30="Polski","Przekroczenie wagi kreacji za każdy procent przekroczenia","Exceeding the ad weight for each per cent in excess")</f>
        <v>Przekroczenie wagi kreacji za każdy procent przekroczenia</v>
      </c>
      <c r="C23" s="1114"/>
      <c r="D23" s="330" t="s">
        <v>77</v>
      </c>
      <c r="E23" s="71"/>
      <c r="F23" s="144"/>
      <c r="G23" s="144"/>
      <c r="H23" s="144"/>
      <c r="I23" s="270"/>
      <c r="J23" s="270"/>
      <c r="K23" s="270"/>
      <c r="L23" s="270"/>
    </row>
    <row r="24" spans="2:12" ht="12.75" customHeight="1">
      <c r="B24" s="1114" t="str">
        <f>IF('Język - Language'!$B$30="Polski","Scrollowanie i expandowanie formy reklamowej","Scrolling and expanding of ads ")</f>
        <v>Scrollowanie i expandowanie formy reklamowej</v>
      </c>
      <c r="C24" s="1114"/>
      <c r="D24" s="330" t="s">
        <v>71</v>
      </c>
      <c r="E24" s="21"/>
      <c r="F24" s="144"/>
      <c r="G24" s="144"/>
      <c r="H24" s="144"/>
      <c r="I24" s="272"/>
      <c r="J24" s="272"/>
      <c r="K24" s="272"/>
      <c r="L24" s="272"/>
    </row>
    <row r="25" spans="2:12" s="119" customFormat="1" ht="12.75" customHeight="1">
      <c r="B25" s="820" t="str">
        <f>IF('Język - Language'!$B$30="Polski","Parallaxa w kreacji (emisja formatu z efektem parallaxy)","Parallax in a creative")</f>
        <v>Parallaxa w kreacji (emisja formatu z efektem parallaxy)</v>
      </c>
      <c r="C25" s="822"/>
      <c r="D25" s="330" t="s">
        <v>74</v>
      </c>
      <c r="E25" s="21"/>
      <c r="F25" s="144"/>
      <c r="G25" s="144"/>
      <c r="H25" s="144"/>
      <c r="I25" s="272"/>
      <c r="J25" s="272"/>
      <c r="K25" s="272"/>
      <c r="L25" s="272"/>
    </row>
    <row r="26" spans="2:12" s="272" customFormat="1" ht="12.75" customHeight="1">
      <c r="B26" s="820" t="str">
        <f>IF('Język - Language'!$B$30="Polski","Karuzela, Scroller, Slider, Cube w kreacji","Carousel, Scroller, Slider, Cube in a creative")</f>
        <v>Karuzela, Scroller, Slider, Cube w kreacji</v>
      </c>
      <c r="C26" s="822"/>
      <c r="D26" s="330" t="s">
        <v>72</v>
      </c>
      <c r="E26" s="21"/>
      <c r="F26" s="144"/>
      <c r="G26" s="144"/>
      <c r="H26" s="144"/>
    </row>
    <row r="27" spans="2:12" s="272" customFormat="1" ht="12.75" customHeight="1">
      <c r="B27" s="820" t="s">
        <v>202</v>
      </c>
      <c r="C27" s="822"/>
      <c r="D27" s="330" t="s">
        <v>176</v>
      </c>
      <c r="E27" s="21"/>
      <c r="F27" s="144"/>
      <c r="G27" s="144"/>
      <c r="H27" s="144"/>
    </row>
    <row r="28" spans="2:12" ht="12.75" customHeight="1">
      <c r="B28" s="1114" t="str">
        <f>IF('Język - Language'!$B$30="Polski","Mega formaty","Mega Formats")</f>
        <v>Mega formaty</v>
      </c>
      <c r="C28" s="1114"/>
      <c r="D28" s="239" t="str">
        <f>IF('Język - Language'!$B$30="Polski","+50% do ceny formy podstawowej","+50% to basic format price")</f>
        <v>+50% do ceny formy podstawowej</v>
      </c>
      <c r="E28" s="272"/>
      <c r="F28" s="144"/>
      <c r="G28" s="144"/>
      <c r="H28" s="144"/>
      <c r="I28" s="272"/>
      <c r="J28" s="272"/>
      <c r="K28" s="272"/>
      <c r="L28" s="272"/>
    </row>
    <row r="29" spans="2:12" ht="12.75" customHeight="1">
      <c r="B29" s="1115" t="str">
        <f>IF('Język - Language'!$B$30="Polski","Połączenie dwóch form reklamowych","Mixing two ads")</f>
        <v>Połączenie dwóch form reklamowych</v>
      </c>
      <c r="C29" s="1115"/>
      <c r="D29" s="239" t="str">
        <f>IF('Język - Language'!$B$30="Polski","łącznie 150% ceny droższej formy","total of 150% of the price of most expensive format")</f>
        <v>łącznie 150% ceny droższej formy</v>
      </c>
      <c r="E29" s="272"/>
      <c r="F29" s="144"/>
      <c r="G29" s="144"/>
      <c r="H29" s="144"/>
      <c r="I29" s="272"/>
      <c r="J29" s="272"/>
      <c r="K29" s="272"/>
      <c r="L29" s="272"/>
    </row>
    <row r="30" spans="2:12" ht="12.75" customHeight="1">
      <c r="B30" s="307" t="str">
        <f>IF('Język - Language'!$B$30="Polski","Site-takeover","Site-takeover")</f>
        <v>Site-takeover</v>
      </c>
      <c r="C30" s="308"/>
      <c r="D30" s="239" t="s">
        <v>71</v>
      </c>
      <c r="E30" s="272"/>
      <c r="F30" s="144"/>
      <c r="G30" s="144"/>
      <c r="H30" s="144"/>
      <c r="I30" s="272"/>
      <c r="J30" s="272"/>
      <c r="K30" s="272"/>
      <c r="L30" s="272"/>
    </row>
    <row r="31" spans="2:12" ht="12.75" customHeight="1">
      <c r="B31" s="820" t="str">
        <f>IF('Język - Language'!$B$30="Polski","Zmiana kreacji w trakcie trwania kampanii display i w mailingu","Changing creative in display and mailing")</f>
        <v>Zmiana kreacji w trakcie trwania kampanii display i w mailingu</v>
      </c>
      <c r="C31" s="822"/>
      <c r="D31" s="239" t="str">
        <f>IF('Język - Language'!$B$30="Polski","+10% za każdą kreację","+10% for each creative")</f>
        <v>+10% za każdą kreację</v>
      </c>
      <c r="E31" s="272"/>
      <c r="F31" s="144"/>
      <c r="G31" s="144"/>
      <c r="H31" s="144"/>
      <c r="I31" s="272"/>
      <c r="J31" s="272"/>
      <c r="K31" s="272"/>
      <c r="L31" s="272"/>
    </row>
    <row r="32" spans="2:12" s="232" customFormat="1" ht="12.75" customHeight="1">
      <c r="B32" s="820"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2" s="822"/>
      <c r="D32" s="330" t="s">
        <v>73</v>
      </c>
      <c r="E32" s="272"/>
      <c r="F32" s="144"/>
      <c r="G32" s="144"/>
      <c r="H32" s="144"/>
      <c r="I32" s="272"/>
      <c r="J32" s="272"/>
      <c r="K32" s="272"/>
      <c r="L32" s="272"/>
    </row>
    <row r="33" spans="1:8" s="272" customFormat="1" ht="12.75" customHeight="1">
      <c r="B33" s="820" t="s">
        <v>175</v>
      </c>
      <c r="C33" s="822"/>
      <c r="D33" s="330" t="s">
        <v>174</v>
      </c>
      <c r="F33" s="144"/>
      <c r="G33" s="144"/>
      <c r="H33" s="144"/>
    </row>
    <row r="34" spans="1:8" ht="12.75" customHeight="1">
      <c r="A34" s="272"/>
      <c r="B34" s="1116" t="str">
        <f>IF('Język - Language'!$B$30="Polski","Reklama piwa","Beer advertising")</f>
        <v>Reklama piwa</v>
      </c>
      <c r="C34" s="1116"/>
      <c r="D34" s="241" t="s">
        <v>78</v>
      </c>
      <c r="E34" s="272"/>
      <c r="F34" s="272"/>
    </row>
    <row r="35" spans="1:8" ht="12.75" customHeight="1">
      <c r="A35" s="272"/>
      <c r="B35" s="1117" t="str">
        <f>IF('Język - Language'!$B$30="Polski","Targetowanie demograficzne","Demographic targeting")</f>
        <v>Targetowanie demograficzne</v>
      </c>
      <c r="C35" s="1117"/>
      <c r="D35" s="239" t="str">
        <f>IF('Język - Language'!$B$30="Polski","+25% za każde kryterium","+25% for each criterion")</f>
        <v>+25% za każde kryterium</v>
      </c>
      <c r="E35" s="272"/>
      <c r="F35" s="72"/>
    </row>
    <row r="36" spans="1:8" ht="12.75" customHeight="1">
      <c r="A36" s="272"/>
      <c r="B36" s="1115" t="str">
        <f>IF('Język - Language'!$B$30="Polski","Targetowanie geograficzne","Geographic targeting")</f>
        <v>Targetowanie geograficzne</v>
      </c>
      <c r="C36" s="1115"/>
      <c r="D36" s="239" t="str">
        <f>IF('Język - Language'!$B$30="Polski","+50% za każde kryterium","+50% for each criterion")</f>
        <v>+50% za każde kryterium</v>
      </c>
      <c r="E36" s="272"/>
      <c r="F36" s="120"/>
    </row>
    <row r="37" spans="1:8" s="88" customFormat="1" ht="12.75" customHeight="1">
      <c r="A37" s="272"/>
      <c r="B37" s="1114" t="str">
        <f>IF('Język - Language'!$B$30="Polski","Targetowanie po kategoriach IAB (na wybranej powierzchni)","IAB categories targeting")</f>
        <v>Targetowanie po kategoriach IAB (na wybranej powierzchni)</v>
      </c>
      <c r="C37" s="1114"/>
      <c r="D37" s="239" t="str">
        <f>IF('Język - Language'!$B$30="Polski","+25% za każde kryterium","+25% for each criterion")</f>
        <v>+25% za każde kryterium</v>
      </c>
      <c r="E37" s="272"/>
      <c r="F37" s="73"/>
    </row>
    <row r="38" spans="1:8" ht="12.75" customHeight="1">
      <c r="A38" s="272"/>
      <c r="B38" s="1114" t="str">
        <f>IF('Język - Language'!$B$30="Polski","Retargetowanie","Retargeting")</f>
        <v>Retargetowanie</v>
      </c>
      <c r="C38" s="1114"/>
      <c r="D38" s="242" t="s">
        <v>71</v>
      </c>
      <c r="E38" s="21"/>
      <c r="F38" s="272"/>
    </row>
    <row r="39" spans="1:8" s="272" customFormat="1" ht="12.75" customHeight="1">
      <c r="B39" s="820" t="s">
        <v>90</v>
      </c>
      <c r="C39" s="822"/>
      <c r="D39" s="242" t="s">
        <v>74</v>
      </c>
      <c r="E39" s="21"/>
    </row>
    <row r="40" spans="1:8" ht="12.75" customHeight="1">
      <c r="A40" s="272"/>
      <c r="B40" s="1115" t="str">
        <f>IF('Język - Language'!$B$30="Polski","Wybór emisji tylko na jednym portalu","Selecting either WP or O2 (display and mailing)")</f>
        <v>Wybór emisji tylko na jednym portalu</v>
      </c>
      <c r="C40" s="1115"/>
      <c r="D40" s="242" t="s">
        <v>73</v>
      </c>
      <c r="E40" s="272"/>
      <c r="F40" s="272"/>
    </row>
    <row r="41" spans="1:8" ht="12.75" customHeight="1">
      <c r="A41" s="272"/>
      <c r="B41" s="1115" t="str">
        <f>IF('Język - Language'!$B$30="Polski","Optymalizacja big data w mailingach","Big data optimalization")</f>
        <v>Optymalizacja big data w mailingach</v>
      </c>
      <c r="C41" s="1115"/>
      <c r="D41" s="243" t="s">
        <v>72</v>
      </c>
      <c r="E41" s="272"/>
      <c r="F41" s="272"/>
    </row>
    <row r="42" spans="1:8" ht="25.5" customHeight="1">
      <c r="A42" s="272"/>
      <c r="B42" s="969" t="str">
        <f>IF('Język - Language'!$B$30="Polski","DODATKOWE OPCJE W MAILINGU","MAILING ADDITIONAL OPTIONS")</f>
        <v>DODATKOWE OPCJE W MAILINGU</v>
      </c>
      <c r="C42" s="969"/>
      <c r="D42" s="305" t="str">
        <f>IF('Język - Language'!$B$30="Polski","DOPŁATA","EXTRA CHARGE")</f>
        <v>DOPŁATA</v>
      </c>
      <c r="E42" s="272"/>
      <c r="F42" s="272"/>
    </row>
    <row r="43" spans="1:8" ht="12.75" customHeight="1">
      <c r="A43" s="272"/>
      <c r="B43" s="1117" t="str">
        <f>IF('Język - Language'!$B$30="Polski","Mailing do bazy użytkowników wybranego portalu (tylko o2.pl lub tylko WP.pl)","Advertising mailing to o2 email services only or WP email services only")</f>
        <v>Mailing do bazy użytkowników wybranego portalu (tylko o2.pl lub tylko WP.pl)</v>
      </c>
      <c r="C43" s="1117"/>
      <c r="D43" s="240" t="s">
        <v>73</v>
      </c>
      <c r="E43" s="272"/>
      <c r="F43" s="272"/>
    </row>
    <row r="44" spans="1:8" ht="12.75" customHeight="1">
      <c r="A44" s="272"/>
      <c r="B44" s="820" t="str">
        <f>IF('Język - Language'!$B$30="Polski","Odznaczanie bazy mailingowej","Odznaczanie bazy mailingowej")</f>
        <v>Odznaczanie bazy mailingowej</v>
      </c>
      <c r="C44" s="822"/>
      <c r="D44" s="244" t="s">
        <v>72</v>
      </c>
      <c r="E44" s="272"/>
      <c r="F44" s="65"/>
    </row>
    <row r="45" spans="1:8" s="122" customFormat="1" ht="12.75" customHeight="1">
      <c r="A45" s="183"/>
      <c r="B45" s="820" t="str">
        <f>IF('Język - Language'!$B$30="Polski","Wysyłka mailingu w częściach - za drugą i każdą następną część","Mailing in parts - for second and every next part")</f>
        <v>Wysyłka mailingu w częściach - za drugą i każdą następną część</v>
      </c>
      <c r="C45" s="822"/>
      <c r="D45" s="242" t="s">
        <v>73</v>
      </c>
      <c r="E45" s="272"/>
      <c r="F45" s="272"/>
    </row>
    <row r="46" spans="1:8" s="122" customFormat="1" ht="12.75" customHeight="1">
      <c r="A46" s="183"/>
      <c r="B46" s="820" t="str">
        <f>IF('Język - Language'!$B$30="Polski","Retargetowanie mailingu","Retargeted mailing")</f>
        <v>Retargetowanie mailingu</v>
      </c>
      <c r="C46" s="822"/>
      <c r="D46" s="242" t="s">
        <v>71</v>
      </c>
      <c r="E46" s="272"/>
      <c r="F46" s="272"/>
      <c r="G46" s="272"/>
    </row>
    <row r="47" spans="1:8" s="122" customFormat="1" ht="12.75" customHeight="1">
      <c r="A47" s="183"/>
      <c r="B47" s="820" t="str">
        <f>IF('Język - Language'!$B$30="Polski","Personalizacja mailingu WP (login, imię, nazwisko)","Personalization in WP Mailing (login, name, surname)")</f>
        <v>Personalizacja mailingu WP (login, imię, nazwisko)</v>
      </c>
      <c r="C47" s="822"/>
      <c r="D47" s="242" t="s">
        <v>72</v>
      </c>
      <c r="E47" s="272"/>
      <c r="F47" s="272"/>
      <c r="G47" s="272"/>
    </row>
    <row r="48" spans="1:8" s="122" customFormat="1" ht="12.75" customHeight="1">
      <c r="A48" s="270"/>
      <c r="B48" s="820" t="str">
        <f>IF('Język - Language'!$B$30="Polski","Dopłata za TG dotyczący produktów alkoholowych (inne niż piwo)","Special target to advertise alcoholic products (other than beer)")</f>
        <v>Dopłata za TG dotyczący produktów alkoholowych (inne niż piwo)</v>
      </c>
      <c r="C48" s="822"/>
      <c r="D48" s="242" t="s">
        <v>72</v>
      </c>
      <c r="E48" s="272"/>
      <c r="F48" s="272"/>
      <c r="G48" s="272"/>
    </row>
    <row r="49" spans="1:27" s="122" customFormat="1" ht="12.75" customHeight="1">
      <c r="A49" s="270"/>
      <c r="B49" s="820" t="str">
        <f>IF('Język - Language'!$B$30="Polski","Podświetlenie / wyróżnienie","Backlighting / highlighting")</f>
        <v>Podświetlenie / wyróżnienie</v>
      </c>
      <c r="C49" s="822"/>
      <c r="D49" s="242" t="s">
        <v>71</v>
      </c>
      <c r="E49" s="272"/>
      <c r="F49" s="272"/>
      <c r="G49" s="272"/>
    </row>
    <row r="50" spans="1:27" s="122" customFormat="1" ht="12.75" customHeight="1">
      <c r="A50" s="270"/>
      <c r="B50" s="820" t="str">
        <f>IF('Język - Language'!$B$30="Polski","Mailing wysyłany na urządzenia mobilne","Mailing dispatched only to mobile devices")</f>
        <v>Mailing wysyłany na urządzenia mobilne</v>
      </c>
      <c r="C50" s="822"/>
      <c r="D50" s="242" t="s">
        <v>71</v>
      </c>
      <c r="E50" s="272"/>
      <c r="F50" s="272"/>
      <c r="G50" s="272"/>
    </row>
    <row r="51" spans="1:27" s="122" customFormat="1" ht="12.75" customHeight="1">
      <c r="A51" s="270"/>
      <c r="B51" s="820" t="str">
        <f>IF('Język - Language'!$B$30="Polski","Dopłata za dodatkowe 10kB","Additional 10kB of ad weight")</f>
        <v>Dopłata za dodatkowe 10kB</v>
      </c>
      <c r="C51" s="822"/>
      <c r="D51" s="242" t="s">
        <v>79</v>
      </c>
      <c r="E51" s="272"/>
      <c r="F51" s="272"/>
      <c r="G51" s="272"/>
    </row>
    <row r="52" spans="1:27" s="122" customFormat="1" ht="12.75" customHeight="1">
      <c r="A52" s="270"/>
      <c r="B52" s="820" t="str">
        <f>IF('Język - Language'!$B$30="Polski","Video Mailing do 1,5 MB","Video Mailing up to 1,5 MB")</f>
        <v>Video Mailing do 1,5 MB</v>
      </c>
      <c r="C52" s="822"/>
      <c r="D52" s="242" t="s">
        <v>72</v>
      </c>
      <c r="E52" s="272"/>
      <c r="F52" s="272"/>
      <c r="G52" s="272"/>
    </row>
    <row r="53" spans="1:27" s="122" customFormat="1" ht="12.75" customHeight="1">
      <c r="A53" s="270"/>
      <c r="B53" s="1123" t="str">
        <f>IF('Język - Language'!$B$30="Polski","Optymalizacja big data w mailingach","Big data optimization in Mailing")</f>
        <v>Optymalizacja big data w mailingach</v>
      </c>
      <c r="C53" s="1124"/>
      <c r="D53" s="245" t="s">
        <v>72</v>
      </c>
      <c r="E53" s="272"/>
      <c r="F53" s="272"/>
      <c r="G53" s="272"/>
    </row>
    <row r="54" spans="1:27" s="122" customFormat="1" ht="12.75" customHeight="1">
      <c r="A54" s="272"/>
      <c r="B54" s="233"/>
      <c r="C54" s="233"/>
      <c r="D54" s="246"/>
      <c r="E54" s="272"/>
      <c r="F54" s="272"/>
      <c r="G54" s="272"/>
    </row>
    <row r="55" spans="1:27" ht="25.5" customHeight="1">
      <c r="A55" s="270"/>
      <c r="B55" s="1112" t="str">
        <f>IF('Język - Language'!$B$30="Polski","KRYTERIA TARGETOWANIA KAMPANII DISPLAY ORAZ MAILINGU","TARGETING CRITERIA FOR DISPLAY AND MAILING CAMPAIGNS")</f>
        <v>KRYTERIA TARGETOWANIA KAMPANII DISPLAY ORAZ MAILINGU</v>
      </c>
      <c r="C55" s="1112"/>
      <c r="D55" s="1113"/>
      <c r="E55" s="10"/>
      <c r="F55" s="10"/>
      <c r="G55" s="10"/>
    </row>
    <row r="56" spans="1:27" ht="21">
      <c r="A56" s="270"/>
      <c r="B56" s="332" t="str">
        <f>IF('Język - Language'!$B$30="Polski","TARGETOWANIE DEMOGRAFICZNE","DEMOGRAPHIC TARGETING")</f>
        <v>TARGETOWANIE DEMOGRAFICZNE</v>
      </c>
      <c r="C56" s="1121" t="str">
        <f>IF('Język - Language'!$B$30="Polski","PARAMETRY TARGETOWANIA","TARGETING PARAMETERS")</f>
        <v>PARAMETRY TARGETOWANIA</v>
      </c>
      <c r="D56" s="1122"/>
      <c r="E56" s="11"/>
      <c r="F56" s="11"/>
      <c r="G56" s="11"/>
    </row>
    <row r="57" spans="1:27">
      <c r="A57" s="272"/>
      <c r="B57" s="247" t="str">
        <f>IF('Język - Language'!$B$30="Polski","PŁEĆ","GENDER")</f>
        <v>PŁEĆ</v>
      </c>
      <c r="C57" s="1108" t="str">
        <f>IF('Język - Language'!$B$30="Polski","kobieta, mężczyzna","woman, man")</f>
        <v>kobieta, mężczyzna</v>
      </c>
      <c r="D57" s="1109"/>
      <c r="E57" s="66"/>
      <c r="F57" s="66"/>
      <c r="G57" s="66"/>
    </row>
    <row r="58" spans="1:27">
      <c r="A58" s="272"/>
      <c r="B58" s="248" t="str">
        <f>IF('Język - Language'!$B$30="Polski","WIEK","AGE")</f>
        <v>WIEK</v>
      </c>
      <c r="C58" s="1130" t="str">
        <f>IF('Język - Language'!$B$30="Polski","dowolny przedział wiekowy","number of years")</f>
        <v>dowolny przedział wiekowy</v>
      </c>
      <c r="D58" s="1131"/>
      <c r="E58" s="66"/>
      <c r="F58" s="66"/>
      <c r="G58" s="66"/>
    </row>
    <row r="59" spans="1:27">
      <c r="A59" s="272"/>
      <c r="B59" s="248" t="str">
        <f>IF('Język - Language'!$B$30="Polski","WYKSZTAŁCENIE","EDUCATION")</f>
        <v>WYKSZTAŁCENIE</v>
      </c>
      <c r="C59" s="1110" t="str">
        <f>IF('Język - Language'!$B$30="Polski","bez wykształcenia, podstawowe, zawodowe, średnie, wyższe","no education, basic, professional, high school, BA / MA")</f>
        <v>bez wykształcenia, podstawowe, zawodowe, średnie, wyższe</v>
      </c>
      <c r="D59" s="1111"/>
      <c r="E59" s="37"/>
      <c r="F59" s="37"/>
      <c r="G59" s="37"/>
    </row>
    <row r="60" spans="1:27" ht="36" customHeight="1">
      <c r="A60" s="272"/>
      <c r="B60" s="248" t="str">
        <f>IF('Język - Language'!$B$30="Polski","ZAWÓD","PROFESSION")</f>
        <v>ZAWÓD</v>
      </c>
      <c r="C60" s="1110"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111"/>
      <c r="E60" s="37"/>
      <c r="F60" s="37"/>
      <c r="G60" s="37"/>
    </row>
    <row r="61" spans="1:27" ht="38.25" customHeight="1">
      <c r="A61" s="272"/>
      <c r="B61" s="248" t="str">
        <f>IF('Język - Language'!$B$30="Polski","ZAINTERESOWANIA","INTERESTS")</f>
        <v>ZAINTERESOWANIA</v>
      </c>
      <c r="C61" s="1110"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111"/>
      <c r="E61" s="37"/>
      <c r="F61" s="37"/>
      <c r="G61" s="37"/>
    </row>
    <row r="62" spans="1:27" ht="57" customHeight="1">
      <c r="A62" s="272"/>
      <c r="B62" s="249" t="str">
        <f>IF('Język - Language'!$B$30="Polski","BRANŻA","OCCUPATIONAL AREA")</f>
        <v>BRANŻA</v>
      </c>
      <c r="C62" s="1076"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077"/>
      <c r="E62" s="37"/>
      <c r="F62" s="37"/>
      <c r="G62" s="37"/>
      <c r="H62" s="272"/>
      <c r="I62" s="272"/>
      <c r="J62" s="272"/>
      <c r="K62" s="272"/>
      <c r="L62" s="272"/>
      <c r="M62" s="272"/>
      <c r="N62" s="272"/>
      <c r="O62" s="272"/>
      <c r="P62" s="272"/>
      <c r="Q62" s="272"/>
      <c r="R62" s="272"/>
      <c r="S62" s="272"/>
      <c r="T62" s="272"/>
      <c r="U62" s="272"/>
      <c r="V62" s="272"/>
      <c r="W62" s="272"/>
      <c r="X62" s="272"/>
      <c r="Y62" s="272"/>
      <c r="Z62" s="272"/>
      <c r="AA62" s="272"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31.5">
      <c r="A63" s="272"/>
      <c r="B63" s="250" t="str">
        <f>IF('Język - Language'!$B$30="Polski","WIELKOŚĆ MIEJSCOWOŚCI* (tylko na serwisach WP)","POPULATION (applicable to WP sites)")</f>
        <v>WIELKOŚĆ MIEJSCOWOŚCI* (tylko na serwisach WP)</v>
      </c>
      <c r="C63" s="1106" t="str">
        <f>IF('Język - Language'!$B$30="Polski","wieś, do 50 tys., 50-100 tys., 100-500 tys., pow. 500 tys.","country, up to 50 k, 50-100 k, 100-500 k, more than 500 k")</f>
        <v>wieś, do 50 tys., 50-100 tys., 100-500 tys., pow. 500 tys.</v>
      </c>
      <c r="D63" s="1107"/>
      <c r="E63" s="37"/>
      <c r="F63" s="37"/>
      <c r="G63" s="37"/>
      <c r="H63" s="272"/>
      <c r="I63" s="272"/>
      <c r="J63" s="272"/>
      <c r="K63" s="272"/>
      <c r="L63" s="272"/>
      <c r="M63" s="272"/>
      <c r="N63" s="272"/>
      <c r="O63" s="272"/>
      <c r="P63" s="272"/>
      <c r="Q63" s="272"/>
      <c r="R63" s="272"/>
      <c r="S63" s="272"/>
      <c r="T63" s="272"/>
      <c r="U63" s="272"/>
      <c r="V63" s="272"/>
      <c r="W63" s="272"/>
      <c r="X63" s="272"/>
      <c r="Y63" s="272"/>
      <c r="Z63" s="272"/>
      <c r="AA63" s="27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ht="21">
      <c r="A64" s="270"/>
      <c r="B64" s="332" t="str">
        <f>IF('Język - Language'!$B$30="Polski","TARGETOWANIE GEOGRAFICZNE","GEOTARGETING")</f>
        <v>TARGETOWANIE GEOGRAFICZNE</v>
      </c>
      <c r="C64" s="1121" t="str">
        <f>IF('Język - Language'!$B$30="Polski","PARAMETRY TARGETOWANIA","TARGETING PARAMETERS")</f>
        <v>PARAMETRY TARGETOWANIA</v>
      </c>
      <c r="D64" s="1122"/>
      <c r="E64" s="10"/>
      <c r="F64" s="10"/>
      <c r="G64" s="10"/>
      <c r="H64" s="272"/>
      <c r="I64" s="272"/>
      <c r="J64" s="272"/>
      <c r="K64" s="272"/>
      <c r="L64" s="272"/>
      <c r="M64" s="272"/>
      <c r="N64" s="272"/>
      <c r="O64" s="272"/>
      <c r="P64" s="272"/>
      <c r="Q64" s="272"/>
      <c r="R64" s="272"/>
      <c r="S64" s="272"/>
      <c r="T64" s="272"/>
      <c r="U64" s="272"/>
      <c r="V64" s="272"/>
      <c r="W64" s="272"/>
      <c r="X64" s="272"/>
      <c r="Y64" s="272"/>
      <c r="Z64" s="272"/>
      <c r="AA64" s="272"/>
    </row>
    <row r="65" spans="1:27">
      <c r="A65" s="272"/>
      <c r="B65" s="247" t="str">
        <f>IF('Język - Language'!$B$30="Polski","WOJEWÓDZTWO","PROVINCE")</f>
        <v>WOJEWÓDZTWO</v>
      </c>
      <c r="C65" s="1132" t="str">
        <f>IF('Język - Language'!$B$30="Polski","wybrane województwo","selected province")</f>
        <v>wybrane województwo</v>
      </c>
      <c r="D65" s="1133"/>
      <c r="E65" s="67"/>
      <c r="F65" s="67"/>
      <c r="G65" s="67"/>
      <c r="H65" s="272"/>
      <c r="I65" s="272"/>
      <c r="J65" s="272"/>
      <c r="K65" s="272"/>
      <c r="L65" s="272"/>
      <c r="M65" s="272"/>
      <c r="N65" s="272"/>
      <c r="O65" s="272"/>
      <c r="P65" s="272"/>
      <c r="Q65" s="272"/>
      <c r="R65" s="272"/>
      <c r="S65" s="272"/>
      <c r="T65" s="272"/>
      <c r="U65" s="272"/>
      <c r="V65" s="272"/>
      <c r="W65" s="272"/>
      <c r="X65" s="272"/>
      <c r="Y65" s="272"/>
      <c r="Z65" s="272"/>
      <c r="AA65" s="272"/>
    </row>
    <row r="66" spans="1:27">
      <c r="A66" s="272"/>
      <c r="B66" s="248" t="str">
        <f>IF('Język - Language'!$B$30="Polski","MIASTO","CITY")</f>
        <v>MIASTO</v>
      </c>
      <c r="C66" s="1128" t="str">
        <f>IF('Język - Language'!$B$30="Polski","wybrane miasto","selected city")</f>
        <v>wybrane miasto</v>
      </c>
      <c r="D66" s="1129"/>
      <c r="E66" s="67"/>
      <c r="F66" s="67"/>
      <c r="G66" s="67"/>
      <c r="H66" s="272"/>
      <c r="I66" s="272"/>
      <c r="J66" s="272"/>
      <c r="K66" s="272"/>
      <c r="L66" s="272"/>
      <c r="M66" s="272"/>
      <c r="N66" s="272"/>
      <c r="O66" s="272"/>
      <c r="P66" s="272"/>
      <c r="Q66" s="272"/>
      <c r="R66" s="272"/>
      <c r="S66" s="272"/>
      <c r="T66" s="272"/>
      <c r="U66" s="272"/>
      <c r="V66" s="272"/>
      <c r="W66" s="272"/>
      <c r="X66" s="272"/>
      <c r="Y66" s="272"/>
      <c r="Z66" s="272"/>
      <c r="AA66" s="272"/>
    </row>
    <row r="67" spans="1:27">
      <c r="A67" s="272"/>
      <c r="B67" s="289"/>
      <c r="C67" s="289"/>
      <c r="D67" s="289"/>
      <c r="E67" s="272"/>
      <c r="F67" s="272"/>
      <c r="G67" s="272"/>
      <c r="H67" s="272"/>
      <c r="I67" s="272"/>
      <c r="J67" s="272"/>
      <c r="K67" s="272"/>
      <c r="L67" s="272"/>
      <c r="M67" s="272"/>
      <c r="N67" s="272"/>
      <c r="O67" s="272"/>
      <c r="P67" s="272"/>
      <c r="Q67" s="272"/>
      <c r="R67" s="272"/>
      <c r="S67" s="272"/>
      <c r="T67" s="272"/>
      <c r="U67" s="272"/>
      <c r="V67" s="272"/>
      <c r="W67" s="272"/>
      <c r="X67" s="272"/>
      <c r="Y67" s="272"/>
      <c r="Z67" s="272"/>
      <c r="AA67" s="272"/>
    </row>
    <row r="68" spans="1:27" s="272" customFormat="1">
      <c r="B68" s="289"/>
      <c r="C68" s="289"/>
      <c r="D68" s="289"/>
    </row>
    <row r="69" spans="1:27" s="272" customFormat="1" ht="25.5" customHeight="1">
      <c r="A69" s="270"/>
      <c r="B69" s="1112" t="str">
        <f>IF('Język - Language'!$B$30="Polski","KRYTERIA TARGETOWANIA KAMPANII DATAPOWER","DATAPOWER TARGETING CRITERIA FOR DISPLAY AND MAILING CAMPAIGNS")</f>
        <v>KRYTERIA TARGETOWANIA KAMPANII DATAPOWER</v>
      </c>
      <c r="C69" s="1112"/>
      <c r="D69" s="1113"/>
      <c r="E69" s="10"/>
      <c r="F69" s="10"/>
      <c r="G69" s="10"/>
    </row>
    <row r="70" spans="1:27" s="272" customFormat="1">
      <c r="A70" s="270"/>
      <c r="B70" s="599" t="str">
        <f>IF('Język - Language'!$B$30="Polski","KATEGORIA","CATEGORY")</f>
        <v>KATEGORIA</v>
      </c>
      <c r="C70" s="599" t="str">
        <f>IF('Język - Language'!$B$30="Polski","SUBKATEGORIE","SUBCATEGORIES")</f>
        <v>SUBKATEGORIE</v>
      </c>
      <c r="D70" s="600" t="str">
        <f>IF('Język - Language'!$B$30="Polski","DOPŁATA","EXTRA CHARGE")</f>
        <v>DOPŁATA</v>
      </c>
      <c r="E70" s="11"/>
      <c r="F70" s="11"/>
      <c r="G70" s="11"/>
    </row>
    <row r="71" spans="1:27" s="272" customFormat="1" ht="30" customHeight="1">
      <c r="B71" s="247" t="str">
        <f>IF('Język - Language'!$B$30="Polski","WPM ZASIĘG","WPM REACH PACKAGE")</f>
        <v>WPM ZASIĘG</v>
      </c>
      <c r="C71" s="612" t="s">
        <v>238</v>
      </c>
      <c r="D71" s="1125" t="s">
        <v>72</v>
      </c>
      <c r="E71" s="66"/>
      <c r="F71" s="66"/>
      <c r="G71" s="66"/>
    </row>
    <row r="72" spans="1:27" s="272" customFormat="1" ht="25.5" customHeight="1">
      <c r="B72" s="247" t="str">
        <f>IF('Język - Language'!$B$30="Polski","PREMIUM HP","PREMIUM HOME PAGE")</f>
        <v>PREMIUM HP</v>
      </c>
      <c r="C72" s="611" t="s">
        <v>237</v>
      </c>
      <c r="D72" s="1126"/>
      <c r="E72" s="66"/>
      <c r="F72" s="66"/>
      <c r="G72" s="66"/>
    </row>
    <row r="73" spans="1:27" s="272" customFormat="1" ht="25.5" customHeight="1">
      <c r="B73" s="247" t="str">
        <f>IF('Język - Language'!$B$30="Polski","BIZNES","BUSINESS")</f>
        <v>BIZNES</v>
      </c>
      <c r="C73" s="601" t="s">
        <v>227</v>
      </c>
      <c r="D73" s="1126"/>
      <c r="E73" s="66"/>
      <c r="F73" s="66"/>
      <c r="G73" s="66"/>
    </row>
    <row r="74" spans="1:27" s="272" customFormat="1" ht="25.5" customHeight="1">
      <c r="B74" s="248" t="str">
        <f>IF('Język - Language'!$B$30="Polski","INFO I SPORT","NEWS &amp; SPORT")</f>
        <v>INFO I SPORT</v>
      </c>
      <c r="C74" s="602" t="s">
        <v>228</v>
      </c>
      <c r="D74" s="1126"/>
      <c r="E74" s="66"/>
      <c r="F74" s="66"/>
      <c r="G74" s="66"/>
    </row>
    <row r="75" spans="1:27" s="272" customFormat="1" ht="25.5" customHeight="1">
      <c r="B75" s="248" t="str">
        <f>IF('Język - Language'!$B$30="Polski","MOTORYZACJA","AUTOMOTIVE")</f>
        <v>MOTORYZACJA</v>
      </c>
      <c r="C75" s="603" t="s">
        <v>229</v>
      </c>
      <c r="D75" s="1126"/>
      <c r="E75" s="37"/>
      <c r="F75" s="37"/>
      <c r="G75" s="37"/>
    </row>
    <row r="76" spans="1:27" s="272" customFormat="1" ht="25.5" customHeight="1">
      <c r="B76" s="248" t="str">
        <f>IF('Język - Language'!$B$30="Polski","ROZRYWKA","ENTERTAINMENT")</f>
        <v>ROZRYWKA</v>
      </c>
      <c r="C76" s="603" t="s">
        <v>230</v>
      </c>
      <c r="D76" s="1126"/>
      <c r="E76" s="37"/>
      <c r="F76" s="37"/>
      <c r="G76" s="37"/>
    </row>
    <row r="77" spans="1:27" s="272" customFormat="1" ht="25.5" customHeight="1">
      <c r="B77" s="248" t="str">
        <f>IF('Język - Language'!$B$30="Polski","STYL ŻYCIA","LIFESTYLE")</f>
        <v>STYL ŻYCIA</v>
      </c>
      <c r="C77" s="603" t="s">
        <v>231</v>
      </c>
      <c r="D77" s="1126"/>
      <c r="E77" s="37"/>
      <c r="F77" s="37"/>
      <c r="G77" s="37"/>
    </row>
    <row r="78" spans="1:27" s="272" customFormat="1" ht="25.5" customHeight="1">
      <c r="B78" s="249" t="str">
        <f>IF('Język - Language'!$B$30="Polski","TECHNOLOGIA","TECHNOLOGY")</f>
        <v>TECHNOLOGIA</v>
      </c>
      <c r="C78" s="604" t="s">
        <v>232</v>
      </c>
      <c r="D78" s="1126"/>
      <c r="E78" s="37"/>
      <c r="F78" s="37"/>
      <c r="G78" s="37"/>
      <c r="AA78" s="272"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72" customFormat="1" ht="25.5" customHeight="1">
      <c r="B79" s="249" t="str">
        <f>IF('Język - Language'!$B$30="Polski","ZDROWIE I PARENTING","HEALTH &amp; PARENTING")</f>
        <v>ZDROWIE I PARENTING</v>
      </c>
      <c r="C79" s="603" t="s">
        <v>233</v>
      </c>
      <c r="D79" s="1126"/>
      <c r="E79" s="37"/>
      <c r="F79" s="37"/>
      <c r="G79" s="37"/>
      <c r="AA79" s="27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72" customFormat="1" ht="25.5" customHeight="1">
      <c r="B80" s="249" t="str">
        <f>IF('Język - Language'!$B$30="Polski","PAKIET GEO","GEOTARGETING PACKAGE")</f>
        <v>PAKIET GEO</v>
      </c>
      <c r="C80" s="603" t="s">
        <v>234</v>
      </c>
      <c r="D80" s="1127"/>
      <c r="E80" s="37"/>
      <c r="F80" s="37"/>
      <c r="G80" s="37"/>
    </row>
    <row r="81" spans="2:27" s="272" customFormat="1" ht="52.5" customHeight="1">
      <c r="B81" s="249" t="str">
        <f>IF('Język - Language'!$B$30="Polski","PAKIET PREMIUM","PREMIUM PACKAGE")</f>
        <v>PAKIET PREMIUM</v>
      </c>
      <c r="C81" s="603" t="s">
        <v>235</v>
      </c>
      <c r="D81" s="605" t="s">
        <v>71</v>
      </c>
      <c r="E81" s="37"/>
      <c r="F81" s="37"/>
      <c r="G81" s="37"/>
      <c r="AA81" s="272"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72" customFormat="1" ht="25.5" customHeight="1">
      <c r="B82" s="249" t="str">
        <f>IF('Język - Language'!$B$30="Polski","PAKIET PLUS","PLUS PACKAGE")</f>
        <v>PAKIET PLUS</v>
      </c>
      <c r="C82" s="603" t="s">
        <v>236</v>
      </c>
      <c r="D82" s="605" t="s">
        <v>72</v>
      </c>
      <c r="E82" s="37"/>
      <c r="F82" s="37"/>
      <c r="G82" s="37"/>
    </row>
    <row r="83" spans="2:27" s="272" customFormat="1">
      <c r="B83" s="289"/>
      <c r="C83" s="289"/>
      <c r="D83" s="289"/>
    </row>
    <row r="84" spans="2:27" s="272" customFormat="1">
      <c r="B84" s="1120"/>
      <c r="C84" s="1120"/>
      <c r="D84" s="1120"/>
    </row>
    <row r="85" spans="2:27" s="272" customFormat="1" ht="12.75" customHeight="1">
      <c r="B85" s="1119"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5" s="1119"/>
      <c r="D85" s="1119"/>
    </row>
    <row r="86" spans="2:27" s="272" customFormat="1" ht="12.75" customHeight="1">
      <c r="B86" s="1119"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6" s="1119"/>
      <c r="D86" s="1119"/>
    </row>
    <row r="87" spans="2:27" s="272" customFormat="1" ht="25.5" customHeight="1">
      <c r="B87" s="1119"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7" s="1119"/>
      <c r="D87" s="1119"/>
    </row>
    <row r="88" spans="2:27" s="272" customFormat="1" ht="12.75" customHeight="1">
      <c r="B88" s="1119"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8" s="1119"/>
      <c r="D88" s="1119"/>
    </row>
    <row r="89" spans="2:27" s="272" customFormat="1" ht="12.75" customHeight="1">
      <c r="B89" s="1119"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9" s="1119"/>
      <c r="D89" s="1119"/>
    </row>
  </sheetData>
  <mergeCells count="77">
    <mergeCell ref="I11:K11"/>
    <mergeCell ref="I12:K12"/>
    <mergeCell ref="I21:K21"/>
    <mergeCell ref="B12:C12"/>
    <mergeCell ref="I22:K22"/>
    <mergeCell ref="I18:K18"/>
    <mergeCell ref="B18:C18"/>
    <mergeCell ref="I14:K14"/>
    <mergeCell ref="B17:C17"/>
    <mergeCell ref="I13:K13"/>
    <mergeCell ref="B20:C20"/>
    <mergeCell ref="B14:C14"/>
    <mergeCell ref="B16:C16"/>
    <mergeCell ref="B13:C13"/>
    <mergeCell ref="I16:K16"/>
    <mergeCell ref="I19:K19"/>
    <mergeCell ref="B89:D89"/>
    <mergeCell ref="B84:D84"/>
    <mergeCell ref="B85:D85"/>
    <mergeCell ref="B86:D86"/>
    <mergeCell ref="B51:C51"/>
    <mergeCell ref="C64:D64"/>
    <mergeCell ref="C60:D60"/>
    <mergeCell ref="B53:C53"/>
    <mergeCell ref="B88:D88"/>
    <mergeCell ref="B69:D69"/>
    <mergeCell ref="D71:D80"/>
    <mergeCell ref="B87:D87"/>
    <mergeCell ref="C66:D66"/>
    <mergeCell ref="C56:D56"/>
    <mergeCell ref="C58:D58"/>
    <mergeCell ref="C65:D65"/>
    <mergeCell ref="B48:C48"/>
    <mergeCell ref="B49:C49"/>
    <mergeCell ref="B45:C45"/>
    <mergeCell ref="B46:C46"/>
    <mergeCell ref="B50:C50"/>
    <mergeCell ref="I20:K20"/>
    <mergeCell ref="B42:C42"/>
    <mergeCell ref="B43:C43"/>
    <mergeCell ref="B29:C29"/>
    <mergeCell ref="B26:C26"/>
    <mergeCell ref="B33:C33"/>
    <mergeCell ref="B27:C27"/>
    <mergeCell ref="B44:C44"/>
    <mergeCell ref="B47:C47"/>
    <mergeCell ref="B40:C40"/>
    <mergeCell ref="B37:C37"/>
    <mergeCell ref="B32:C32"/>
    <mergeCell ref="C1:D3"/>
    <mergeCell ref="B9:C9"/>
    <mergeCell ref="B7:C7"/>
    <mergeCell ref="B10:C10"/>
    <mergeCell ref="B11:C11"/>
    <mergeCell ref="B8:C8"/>
    <mergeCell ref="B15:C15"/>
    <mergeCell ref="B24:C24"/>
    <mergeCell ref="B21:C21"/>
    <mergeCell ref="B22:C22"/>
    <mergeCell ref="B41:C41"/>
    <mergeCell ref="B23:C23"/>
    <mergeCell ref="B36:C36"/>
    <mergeCell ref="B34:C34"/>
    <mergeCell ref="B31:C31"/>
    <mergeCell ref="B39:C39"/>
    <mergeCell ref="B35:C35"/>
    <mergeCell ref="B38:C38"/>
    <mergeCell ref="B28:C28"/>
    <mergeCell ref="B25:C25"/>
    <mergeCell ref="B19:C19"/>
    <mergeCell ref="B52:C52"/>
    <mergeCell ref="C63:D63"/>
    <mergeCell ref="C57:D57"/>
    <mergeCell ref="C59:D59"/>
    <mergeCell ref="B55:D55"/>
    <mergeCell ref="C61:D61"/>
    <mergeCell ref="C62:D62"/>
  </mergeCells>
  <pageMargins left="0.7" right="0.7" top="0.75" bottom="0.75" header="0.3" footer="0.3"/>
  <pageSetup paperSize="256" scale="80" fitToHeight="0" orientation="portrait" r:id="rId1"/>
  <ignoredErrors>
    <ignoredError sqref="D38:D39 D30 D43:D50 D52:D53 D23:D27 D32:D33 D8:D22 D40:D41 D71 D81:D82" numberStoredAsText="1"/>
    <ignoredError sqref="D36 B80:B8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Content Marketing</vt:lpstr>
      <vt:lpstr>Dopłaty - Extra charges</vt:lpstr>
      <vt:lpstr>Docs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2020-03-23T14:22:59Z</dcterms:modified>
</cp:coreProperties>
</file>